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cenarios" sheetId="1" state="visible" r:id="rId1"/>
    <sheet xmlns:r="http://schemas.openxmlformats.org/officeDocument/2006/relationships" name="Levers" sheetId="2" state="visible" r:id="rId2"/>
    <sheet xmlns:r="http://schemas.openxmlformats.org/officeDocument/2006/relationships" name="Assumptions" sheetId="3" state="visible" r:id="rId3"/>
    <sheet xmlns:r="http://schemas.openxmlformats.org/officeDocument/2006/relationships" name="Sources &amp; Uses" sheetId="4" state="visible" r:id="rId4"/>
    <sheet xmlns:r="http://schemas.openxmlformats.org/officeDocument/2006/relationships" name="Capex" sheetId="5" state="visible" r:id="rId5"/>
    <sheet xmlns:r="http://schemas.openxmlformats.org/officeDocument/2006/relationships" name="Pro Forma" sheetId="6" state="visible" r:id="rId6"/>
    <sheet xmlns:r="http://schemas.openxmlformats.org/officeDocument/2006/relationships" name="PF Low" sheetId="7" state="visible" r:id="rId7"/>
    <sheet xmlns:r="http://schemas.openxmlformats.org/officeDocument/2006/relationships" name="PF High" sheetId="8" state="visible" r:id="rId8"/>
    <sheet xmlns:r="http://schemas.openxmlformats.org/officeDocument/2006/relationships" name="PF Stress" sheetId="9" state="visible" r:id="rId9"/>
    <sheet xmlns:r="http://schemas.openxmlformats.org/officeDocument/2006/relationships" name="Timeline" sheetId="10" state="visible" r:id="rId10"/>
    <sheet xmlns:r="http://schemas.openxmlformats.org/officeDocument/2006/relationships" name="Sources" sheetId="11" state="visible" r:id="rId11"/>
  </sheets>
  <definedNames/>
  <calcPr calcId="124519" fullCalcOnLoad="1"/>
</workbook>
</file>

<file path=xl/styles.xml><?xml version="1.0" encoding="utf-8"?>
<styleSheet xmlns="http://schemas.openxmlformats.org/spreadsheetml/2006/main">
  <numFmts count="5">
    <numFmt numFmtId="164" formatCode="0.0%_);(0.0%);&quot;-&quot;_)"/>
    <numFmt numFmtId="165" formatCode="#,##0.0_);(#,##0.0);&quot;-&quot;_)"/>
    <numFmt numFmtId="166" formatCode="#,##0_);(#,##0);&quot;-&quot;_)"/>
    <numFmt numFmtId="167" formatCode="0.00&quot;x&quot;"/>
    <numFmt numFmtId="168" formatCode="&quot;Stabilized&quot;"/>
  </numFmts>
  <fonts count="23">
    <font>
      <name val="Calibri"/>
      <family val="2"/>
      <color theme="1"/>
      <sz val="11"/>
      <scheme val="minor"/>
    </font>
    <font>
      <name val="Arial"/>
      <b val="1"/>
      <sz val="14"/>
    </font>
    <font>
      <name val="Arial"/>
      <i val="1"/>
      <color rgb="00555555"/>
      <sz val="9"/>
    </font>
    <font>
      <name val="Arial"/>
      <color rgb="00333333"/>
      <sz val="9"/>
    </font>
    <font>
      <name val="Arial"/>
      <b val="1"/>
      <color rgb="00FFFFFF"/>
      <sz val="10"/>
    </font>
    <font>
      <name val="Arial"/>
      <b val="1"/>
      <sz val="10"/>
    </font>
    <font>
      <name val="Arial"/>
      <color rgb="00888888"/>
      <sz val="8"/>
    </font>
    <font>
      <name val="Arial"/>
      <sz val="10"/>
    </font>
    <font>
      <name val="Arial"/>
      <color rgb="00555555"/>
      <sz val="9"/>
    </font>
    <font>
      <name val="Arial"/>
      <color rgb="000000FF"/>
      <sz val="10"/>
    </font>
    <font>
      <name val="Arial"/>
      <color rgb="00000000"/>
      <sz val="10"/>
    </font>
    <font>
      <name val="Arial"/>
      <sz val="9"/>
    </font>
    <font>
      <name val="Arial"/>
      <i val="1"/>
      <color rgb="00000000"/>
      <sz val="10"/>
    </font>
    <font>
      <name val="Arial"/>
      <b val="1"/>
      <color rgb="00000000"/>
      <sz val="10"/>
    </font>
    <font>
      <name val="Arial"/>
      <b val="1"/>
      <color rgb="00555555"/>
      <sz val="9"/>
    </font>
    <font>
      <name val="Arial"/>
      <b val="1"/>
      <sz val="11"/>
    </font>
    <font>
      <name val="Arial"/>
      <i val="1"/>
      <color rgb="00666666"/>
      <sz val="8"/>
    </font>
    <font>
      <name val="Arial"/>
      <color rgb="00444444"/>
      <sz val="9"/>
    </font>
    <font>
      <name val="Arial"/>
      <i val="1"/>
      <sz val="10"/>
    </font>
    <font>
      <name val="Arial"/>
      <i val="1"/>
      <sz val="8"/>
    </font>
    <font>
      <name val="Arial"/>
      <i val="1"/>
      <color rgb="00555555"/>
      <sz val="8"/>
    </font>
    <font>
      <name val="Arial"/>
      <b val="1"/>
      <color rgb="00FFFFFF"/>
      <sz val="7"/>
    </font>
    <font>
      <name val="Arial"/>
      <b val="1"/>
      <sz val="9"/>
    </font>
  </fonts>
  <fills count="10">
    <fill>
      <patternFill/>
    </fill>
    <fill>
      <patternFill patternType="gray125"/>
    </fill>
    <fill>
      <patternFill patternType="solid">
        <fgColor rgb="001F2933"/>
      </patternFill>
    </fill>
    <fill>
      <patternFill patternType="solid">
        <fgColor rgb="00E7E6E1"/>
      </patternFill>
    </fill>
    <fill>
      <patternFill patternType="solid">
        <fgColor rgb="00FFF2CC"/>
      </patternFill>
    </fill>
    <fill>
      <patternFill patternType="solid">
        <fgColor rgb="00F4F3EF"/>
      </patternFill>
    </fill>
    <fill>
      <patternFill patternType="solid">
        <fgColor rgb="00EEF3F8"/>
      </patternFill>
    </fill>
    <fill>
      <patternFill patternType="solid">
        <fgColor rgb="003D2B1F"/>
      </patternFill>
    </fill>
    <fill>
      <patternFill patternType="solid">
        <fgColor rgb="00C9B79C"/>
      </patternFill>
    </fill>
    <fill>
      <patternFill patternType="solid">
        <fgColor rgb="00B5651D"/>
      </patternFill>
    </fill>
  </fills>
  <borders count="3">
    <border>
      <left/>
      <right/>
      <top/>
      <bottom/>
      <diagonal/>
    </border>
    <border>
      <top style="thin">
        <color rgb="009A9A9A"/>
      </top>
    </border>
    <border>
      <top style="medium">
        <color rgb="00333333"/>
      </top>
    </border>
  </borders>
  <cellStyleXfs count="1">
    <xf numFmtId="0" fontId="0" fillId="0" borderId="0"/>
  </cellStyleXfs>
  <cellXfs count="76">
    <xf numFmtId="0" fontId="0" fillId="0" borderId="0" pivotButton="0" quotePrefix="0" xfId="0"/>
    <xf numFmtId="0" fontId="1" fillId="0" borderId="0" pivotButton="0" quotePrefix="0" xfId="0"/>
    <xf numFmtId="0" fontId="2" fillId="0" borderId="0" pivotButton="0" quotePrefix="0" xfId="0"/>
    <xf numFmtId="0" fontId="4" fillId="2" borderId="0" applyAlignment="1" pivotButton="0" quotePrefix="0" xfId="0">
      <alignment horizontal="left" vertical="center" wrapText="1"/>
    </xf>
    <xf numFmtId="0" fontId="4" fillId="2" borderId="0" applyAlignment="1" pivotButton="0" quotePrefix="0" xfId="0">
      <alignment horizontal="center" vertical="center" wrapText="1"/>
    </xf>
    <xf numFmtId="0" fontId="18" fillId="0" borderId="0" pivotButton="0" quotePrefix="0" xfId="0"/>
    <xf numFmtId="0" fontId="19" fillId="0" borderId="0" applyAlignment="1" pivotButton="0" quotePrefix="0" xfId="0">
      <alignment vertical="top" wrapText="1"/>
    </xf>
    <xf numFmtId="0" fontId="5" fillId="3" borderId="0" pivotButton="0" quotePrefix="0" xfId="0"/>
    <xf numFmtId="0" fontId="0" fillId="3" borderId="0" pivotButton="0" quotePrefix="0" xfId="0"/>
    <xf numFmtId="0" fontId="7" fillId="0" borderId="0" pivotButton="0" quotePrefix="0" xfId="0"/>
    <xf numFmtId="166" fontId="7" fillId="0" borderId="0" applyAlignment="1" pivotButton="0" quotePrefix="0" xfId="0">
      <alignment horizontal="right"/>
    </xf>
    <xf numFmtId="1" fontId="7" fillId="0" borderId="0" applyAlignment="1" pivotButton="0" quotePrefix="0" xfId="0">
      <alignment horizontal="right"/>
    </xf>
    <xf numFmtId="165" fontId="7" fillId="0" borderId="0" applyAlignment="1" pivotButton="0" quotePrefix="0" xfId="0">
      <alignment horizontal="right"/>
    </xf>
    <xf numFmtId="164" fontId="7" fillId="0" borderId="0" applyAlignment="1" pivotButton="0" quotePrefix="0" xfId="0">
      <alignment horizontal="right"/>
    </xf>
    <xf numFmtId="0" fontId="5" fillId="0" borderId="0" pivotButton="0" quotePrefix="0" xfId="0"/>
    <xf numFmtId="166" fontId="5" fillId="0" borderId="0" applyAlignment="1" pivotButton="0" quotePrefix="0" xfId="0">
      <alignment horizontal="right"/>
    </xf>
    <xf numFmtId="0" fontId="20" fillId="0" borderId="0" pivotButton="0" quotePrefix="0" xfId="0"/>
    <xf numFmtId="1" fontId="5" fillId="0" borderId="0" applyAlignment="1" pivotButton="0" quotePrefix="0" xfId="0">
      <alignment horizontal="right"/>
    </xf>
    <xf numFmtId="165" fontId="5" fillId="0" borderId="0" applyAlignment="1" pivotButton="0" quotePrefix="0" xfId="0">
      <alignment horizontal="right"/>
    </xf>
    <xf numFmtId="0" fontId="7" fillId="0" borderId="0" applyAlignment="1" pivotButton="0" quotePrefix="0" xfId="0">
      <alignment horizontal="right"/>
    </xf>
    <xf numFmtId="166" fontId="5" fillId="0" borderId="0" pivotButton="0" quotePrefix="0" xfId="0"/>
    <xf numFmtId="166" fontId="7" fillId="0" borderId="0" pivotButton="0" quotePrefix="0" xfId="0"/>
    <xf numFmtId="0" fontId="3" fillId="0" borderId="0" applyAlignment="1" pivotButton="0" quotePrefix="0" xfId="0">
      <alignment wrapText="1"/>
    </xf>
    <xf numFmtId="0" fontId="6" fillId="0" borderId="0" pivotButton="0" quotePrefix="0" xfId="0"/>
    <xf numFmtId="0" fontId="8" fillId="0" borderId="0" pivotButton="0" quotePrefix="0" xfId="0"/>
    <xf numFmtId="1" fontId="9" fillId="4" borderId="0" applyAlignment="1" pivotButton="0" quotePrefix="0" xfId="0">
      <alignment horizontal="right"/>
    </xf>
    <xf numFmtId="1" fontId="10" fillId="0" borderId="0" applyAlignment="1" pivotButton="0" quotePrefix="0" xfId="0">
      <alignment horizontal="right"/>
    </xf>
    <xf numFmtId="0" fontId="11" fillId="0" borderId="0" applyAlignment="1" pivotButton="0" quotePrefix="0" xfId="0">
      <alignment vertical="top" wrapText="1"/>
    </xf>
    <xf numFmtId="164" fontId="9" fillId="4" borderId="0" applyAlignment="1" pivotButton="0" quotePrefix="0" xfId="0">
      <alignment horizontal="right"/>
    </xf>
    <xf numFmtId="164" fontId="10" fillId="0" borderId="0" applyAlignment="1" pivotButton="0" quotePrefix="0" xfId="0">
      <alignment horizontal="right"/>
    </xf>
    <xf numFmtId="165" fontId="9" fillId="4" borderId="0" applyAlignment="1" pivotButton="0" quotePrefix="0" xfId="0">
      <alignment horizontal="right"/>
    </xf>
    <xf numFmtId="165" fontId="10" fillId="0" borderId="0" applyAlignment="1" pivotButton="0" quotePrefix="0" xfId="0">
      <alignment horizontal="right"/>
    </xf>
    <xf numFmtId="166" fontId="9" fillId="4" borderId="0" applyAlignment="1" pivotButton="0" quotePrefix="0" xfId="0">
      <alignment horizontal="right"/>
    </xf>
    <xf numFmtId="166" fontId="10" fillId="0" borderId="0" applyAlignment="1" pivotButton="0" quotePrefix="0" xfId="0">
      <alignment horizontal="right"/>
    </xf>
    <xf numFmtId="2" fontId="9" fillId="4" borderId="0" applyAlignment="1" pivotButton="0" quotePrefix="0" xfId="0">
      <alignment horizontal="right"/>
    </xf>
    <xf numFmtId="2" fontId="10" fillId="0" borderId="0" applyAlignment="1" pivotButton="0" quotePrefix="0" xfId="0">
      <alignment horizontal="right"/>
    </xf>
    <xf numFmtId="167" fontId="9" fillId="4" borderId="0" applyAlignment="1" pivotButton="0" quotePrefix="0" xfId="0">
      <alignment horizontal="right"/>
    </xf>
    <xf numFmtId="0" fontId="10" fillId="0" borderId="0" pivotButton="0" quotePrefix="0" xfId="0"/>
    <xf numFmtId="166" fontId="10" fillId="0" borderId="0" pivotButton="0" quotePrefix="0" xfId="0"/>
    <xf numFmtId="0" fontId="12" fillId="0" borderId="0" pivotButton="0" quotePrefix="0" xfId="0"/>
    <xf numFmtId="0" fontId="13" fillId="0" borderId="1" pivotButton="0" quotePrefix="0" xfId="0"/>
    <xf numFmtId="0" fontId="14" fillId="0" borderId="1" pivotButton="0" quotePrefix="0" xfId="0"/>
    <xf numFmtId="166" fontId="13" fillId="0" borderId="1" pivotButton="0" quotePrefix="0" xfId="0"/>
    <xf numFmtId="0" fontId="13" fillId="5" borderId="2" pivotButton="0" quotePrefix="0" xfId="0"/>
    <xf numFmtId="0" fontId="14" fillId="5" borderId="2" pivotButton="0" quotePrefix="0" xfId="0"/>
    <xf numFmtId="166" fontId="13" fillId="5" borderId="2" pivotButton="0" quotePrefix="0" xfId="0"/>
    <xf numFmtId="0" fontId="15" fillId="0" borderId="0" pivotButton="0" quotePrefix="0" xfId="0"/>
    <xf numFmtId="166" fontId="11" fillId="0" borderId="0" pivotButton="0" quotePrefix="0" xfId="0"/>
    <xf numFmtId="0" fontId="5" fillId="5" borderId="2" pivotButton="0" quotePrefix="0" xfId="0"/>
    <xf numFmtId="0" fontId="0" fillId="5" borderId="2" pivotButton="0" quotePrefix="0" xfId="0"/>
    <xf numFmtId="166" fontId="5" fillId="5" borderId="2" pivotButton="0" quotePrefix="0" xfId="0"/>
    <xf numFmtId="1" fontId="7" fillId="0" borderId="0" pivotButton="0" quotePrefix="0" xfId="0"/>
    <xf numFmtId="168" fontId="7" fillId="6" borderId="0" pivotButton="0" quotePrefix="0" xfId="0"/>
    <xf numFmtId="166" fontId="7" fillId="6" borderId="0" pivotButton="0" quotePrefix="0" xfId="0"/>
    <xf numFmtId="0" fontId="16" fillId="0" borderId="0" pivotButton="0" quotePrefix="0" xfId="0"/>
    <xf numFmtId="164" fontId="7" fillId="0" borderId="0" pivotButton="0" quotePrefix="0" xfId="0"/>
    <xf numFmtId="164" fontId="7" fillId="6" borderId="0" pivotButton="0" quotePrefix="0" xfId="0"/>
    <xf numFmtId="2" fontId="7" fillId="0" borderId="0" pivotButton="0" quotePrefix="0" xfId="0"/>
    <xf numFmtId="2" fontId="7" fillId="6" borderId="0" pivotButton="0" quotePrefix="0" xfId="0"/>
    <xf numFmtId="165" fontId="7" fillId="0" borderId="0" pivotButton="0" quotePrefix="0" xfId="0"/>
    <xf numFmtId="165" fontId="7" fillId="6" borderId="0" pivotButton="0" quotePrefix="0" xfId="0"/>
    <xf numFmtId="0" fontId="13" fillId="5" borderId="1" pivotButton="0" quotePrefix="0" xfId="0"/>
    <xf numFmtId="166" fontId="5" fillId="5" borderId="1" pivotButton="0" quotePrefix="0" xfId="0"/>
    <xf numFmtId="166" fontId="5" fillId="6" borderId="1" pivotButton="0" quotePrefix="0" xfId="0"/>
    <xf numFmtId="0" fontId="13" fillId="0" borderId="0" pivotButton="0" quotePrefix="0" xfId="0"/>
    <xf numFmtId="166" fontId="5" fillId="6" borderId="0" pivotButton="0" quotePrefix="0" xfId="0"/>
    <xf numFmtId="0" fontId="17" fillId="0" borderId="0" applyAlignment="1" pivotButton="0" quotePrefix="0" xfId="0">
      <alignment indent="1"/>
    </xf>
    <xf numFmtId="166" fontId="11" fillId="6" borderId="0" pivotButton="0" quotePrefix="0" xfId="0"/>
    <xf numFmtId="0" fontId="0" fillId="6" borderId="1" pivotButton="0" quotePrefix="0" xfId="0"/>
    <xf numFmtId="0" fontId="0" fillId="5" borderId="1" pivotButton="0" quotePrefix="0" xfId="0"/>
    <xf numFmtId="0" fontId="7" fillId="6" borderId="0" pivotButton="0" quotePrefix="0" xfId="0"/>
    <xf numFmtId="0" fontId="21" fillId="2" borderId="0" applyAlignment="1" pivotButton="0" quotePrefix="0" xfId="0">
      <alignment horizontal="center" textRotation="90"/>
    </xf>
    <xf numFmtId="0" fontId="22" fillId="0" borderId="0" applyAlignment="1" pivotButton="0" quotePrefix="0" xfId="0">
      <alignment vertical="top" wrapText="1"/>
    </xf>
    <xf numFmtId="0" fontId="0" fillId="7" borderId="0" pivotButton="0" quotePrefix="0" xfId="0"/>
    <xf numFmtId="0" fontId="0" fillId="8" borderId="0" pivotButton="0" quotePrefix="0" xfId="0"/>
    <xf numFmtId="0" fontId="0" fillId="9"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styles" Target="styles.xml" Id="rId12"/><Relationship Type="http://schemas.openxmlformats.org/officeDocument/2006/relationships/theme" Target="theme/theme1.xml" Id="rId1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57"/>
  <sheetViews>
    <sheetView showGridLines="0" workbookViewId="0">
      <pane xSplit="1" ySplit="5" topLeftCell="B6" activePane="bottomRight" state="frozen"/>
      <selection pane="topRight"/>
      <selection pane="bottomLeft"/>
      <selection pane="bottomRight" activeCell="A1" sqref="A1"/>
    </sheetView>
  </sheetViews>
  <sheetFormatPr baseColWidth="8" defaultRowHeight="15"/>
  <cols>
    <col width="70" customWidth="1" min="1" max="1"/>
    <col width="18" customWidth="1" min="2" max="2"/>
    <col width="18" customWidth="1" min="3" max="3"/>
    <col width="18" customWidth="1" min="4" max="4"/>
    <col width="18" customWidth="1" min="5" max="5"/>
    <col width="70" customWidth="1" min="6" max="6"/>
  </cols>
  <sheetData>
    <row r="1">
      <c r="A1" s="1" t="inlineStr">
        <is>
          <t>Bastion  -  Scenarios and key metrics</t>
        </is>
      </c>
    </row>
    <row r="2">
      <c r="A2" s="2" t="inlineStr">
        <is>
          <t>Every number links to the four pro forma sheets and Sources &amp; Uses. Change an input on Assumptions and this page recalculates.</t>
        </is>
      </c>
    </row>
    <row r="4">
      <c r="A4" s="3" t="inlineStr">
        <is>
          <t>Metric</t>
        </is>
      </c>
      <c r="B4" s="4" t="inlineStr">
        <is>
          <t>Low</t>
        </is>
      </c>
      <c r="C4" s="4" t="inlineStr">
        <is>
          <t>Base</t>
        </is>
      </c>
      <c r="D4" s="4" t="inlineStr">
        <is>
          <t>High</t>
        </is>
      </c>
      <c r="E4" s="4" t="inlineStr">
        <is>
          <t>Stress</t>
        </is>
      </c>
      <c r="F4" s="4" t="inlineStr">
        <is>
          <t>What it means</t>
        </is>
      </c>
    </row>
    <row r="5" ht="52" customHeight="1">
      <c r="A5" s="5" t="inlineStr">
        <is>
          <t>Scenario</t>
        </is>
      </c>
      <c r="B5" s="6" t="inlineStr">
        <is>
          <t>Lean Bastion: 12 cabins on 5 acres and USD 1M of land, Low California prices, cautious demand</t>
        </is>
      </c>
      <c r="C5" s="6" t="inlineStr">
        <is>
          <t>Base: 12 cabins on 25 acres and USD 1.5M of land, Low California prices (simple, well-built buildings, an easy parcel, a clean permit), base demand</t>
        </is>
      </c>
      <c r="D5" s="6" t="inlineStr">
        <is>
          <t>Full Bastion: 12 cabins on 50 acres and USD 2M of land, Mid California prices with our cost-down choices, a harder parcel, strong demand</t>
        </is>
      </c>
      <c r="E5" s="6" t="inlineStr">
        <is>
          <t>Stress: base scope 15% over, a harder parcel, an EIR and an appeal, soft costs 25%, contingency 20%, weak demand, opening a year later</t>
        </is>
      </c>
    </row>
    <row r="6">
      <c r="A6" s="7" t="inlineStr">
        <is>
          <t>THE PLACE</t>
        </is>
      </c>
      <c r="B6" s="8" t="n"/>
      <c r="C6" s="8" t="n"/>
      <c r="D6" s="8" t="n"/>
      <c r="E6" s="8" t="n"/>
      <c r="F6" s="8" t="n"/>
    </row>
    <row r="7">
      <c r="A7" s="9" t="inlineStr">
        <is>
          <t>Arcana cabins</t>
        </is>
      </c>
      <c r="B7" s="10">
        <f>Assumptions!$E$16</f>
        <v/>
      </c>
      <c r="C7" s="10">
        <f>Assumptions!$F$16</f>
        <v/>
      </c>
      <c r="D7" s="10">
        <f>Assumptions!$G$16</f>
        <v/>
      </c>
      <c r="E7" s="10">
        <f>Assumptions!$H$16</f>
        <v/>
      </c>
    </row>
    <row r="8">
      <c r="A8" s="9" t="inlineStr">
        <is>
          <t>Phases 1 and 2 opening year (guest stays begin)</t>
        </is>
      </c>
      <c r="B8" s="11">
        <f>Assumptions!$E$9</f>
        <v/>
      </c>
      <c r="C8" s="11">
        <f>Assumptions!$F$9</f>
        <v/>
      </c>
      <c r="D8" s="11">
        <f>Assumptions!$G$9</f>
        <v/>
      </c>
      <c r="E8" s="11">
        <f>Assumptions!$H$9</f>
        <v/>
      </c>
    </row>
    <row r="9">
      <c r="A9" s="9" t="inlineStr">
        <is>
          <t>Phase 3 opening year (gallery)</t>
        </is>
      </c>
      <c r="B9" s="11">
        <f>Assumptions!$E$11</f>
        <v/>
      </c>
      <c r="C9" s="11">
        <f>Assumptions!$F$11</f>
        <v/>
      </c>
      <c r="D9" s="11">
        <f>Assumptions!$G$11</f>
        <v/>
      </c>
      <c r="E9" s="11">
        <f>Assumptions!$H$11</f>
        <v/>
      </c>
    </row>
    <row r="10">
      <c r="A10" s="9" t="inlineStr">
        <is>
          <t>Land area (acres)</t>
        </is>
      </c>
      <c r="B10" s="10">
        <f>Assumptions!$E$35</f>
        <v/>
      </c>
      <c r="C10" s="10">
        <f>Assumptions!$F$35</f>
        <v/>
      </c>
      <c r="D10" s="10">
        <f>Assumptions!$G$35</f>
        <v/>
      </c>
      <c r="E10" s="10">
        <f>Assumptions!$H$35</f>
        <v/>
      </c>
    </row>
    <row r="11">
      <c r="A11" s="9" t="inlineStr">
        <is>
          <t>Staff at stabilization (FTE)</t>
        </is>
      </c>
      <c r="B11" s="12">
        <f>'PF Low'!L41</f>
        <v/>
      </c>
      <c r="C11" s="12">
        <f>'Pro Forma'!L41</f>
        <v/>
      </c>
      <c r="D11" s="12">
        <f>'PF High'!L41</f>
        <v/>
      </c>
      <c r="E11" s="12">
        <f>'PF Stress'!L41</f>
        <v/>
      </c>
    </row>
    <row r="12">
      <c r="A12" s="9" t="inlineStr">
        <is>
          <t>Paid occupancy at stabilization (program guests only, incl. retreats)</t>
        </is>
      </c>
      <c r="B12" s="13">
        <f>'PF Low'!L38</f>
        <v/>
      </c>
      <c r="C12" s="13">
        <f>'Pro Forma'!L38</f>
        <v/>
      </c>
      <c r="D12" s="13">
        <f>'PF High'!L38</f>
        <v/>
      </c>
      <c r="E12" s="13">
        <f>'PF Stress'!L38</f>
        <v/>
      </c>
    </row>
    <row r="13">
      <c r="A13" s="9" t="inlineStr">
        <is>
          <t>Cabin utilization at stabilization (incl. free residency nights)</t>
        </is>
      </c>
      <c r="B13" s="13">
        <f>'PF Low'!L40</f>
        <v/>
      </c>
      <c r="C13" s="13">
        <f>'Pro Forma'!L40</f>
        <v/>
      </c>
      <c r="D13" s="13">
        <f>'PF High'!L40</f>
        <v/>
      </c>
      <c r="E13" s="13">
        <f>'PF Stress'!L40</f>
        <v/>
      </c>
    </row>
    <row r="14">
      <c r="A14" s="7" t="inlineStr">
        <is>
          <t>CAPITAL</t>
        </is>
      </c>
      <c r="B14" s="8" t="n"/>
      <c r="C14" s="8" t="n"/>
      <c r="D14" s="8" t="n"/>
      <c r="E14" s="8" t="n"/>
      <c r="F14" s="8" t="n"/>
    </row>
    <row r="15">
      <c r="A15" s="14" t="inlineStr">
        <is>
          <t>Total project cost (capital, 2026 USD)</t>
        </is>
      </c>
      <c r="B15" s="15">
        <f>'Sources &amp; Uses'!D60</f>
        <v/>
      </c>
      <c r="C15" s="15">
        <f>'Sources &amp; Uses'!E60</f>
        <v/>
      </c>
      <c r="D15" s="15">
        <f>'Sources &amp; Uses'!F60</f>
        <v/>
      </c>
      <c r="E15" s="15">
        <f>'Sources &amp; Uses'!G60</f>
        <v/>
      </c>
      <c r="F15" s="16" t="inlineStr">
        <is>
          <t>Land, entitlement, construction, cabins, equipment, soft costs, contingency; California research prices (base at the Low tier) and our planning targets</t>
        </is>
      </c>
    </row>
    <row r="16">
      <c r="A16" s="9" t="inlineStr">
        <is>
          <t>Pre-opening and development overhead</t>
        </is>
      </c>
      <c r="B16" s="10">
        <f>'Sources &amp; Uses'!D66</f>
        <v/>
      </c>
      <c r="C16" s="10">
        <f>'Sources &amp; Uses'!E66</f>
        <v/>
      </c>
      <c r="D16" s="10">
        <f>'Sources &amp; Uses'!F66</f>
        <v/>
      </c>
      <c r="E16" s="10">
        <f>'Sources &amp; Uses'!G66</f>
        <v/>
      </c>
    </row>
    <row r="17">
      <c r="A17" s="9" t="inlineStr">
        <is>
          <t>Operating reserve (12 months)</t>
        </is>
      </c>
      <c r="B17" s="10">
        <f>'Sources &amp; Uses'!D67</f>
        <v/>
      </c>
      <c r="C17" s="10">
        <f>'Sources &amp; Uses'!E67</f>
        <v/>
      </c>
      <c r="D17" s="10">
        <f>'Sources &amp; Uses'!F67</f>
        <v/>
      </c>
      <c r="E17" s="10">
        <f>'Sources &amp; Uses'!G67</f>
        <v/>
      </c>
    </row>
    <row r="18">
      <c r="A18" s="9" t="inlineStr">
        <is>
          <t>Total uses of funds</t>
        </is>
      </c>
      <c r="B18" s="10">
        <f>'Sources &amp; Uses'!D68</f>
        <v/>
      </c>
      <c r="C18" s="10">
        <f>'Sources &amp; Uses'!E68</f>
        <v/>
      </c>
      <c r="D18" s="10">
        <f>'Sources &amp; Uses'!F68</f>
        <v/>
      </c>
      <c r="E18" s="10">
        <f>'Sources &amp; Uses'!G68</f>
        <v/>
      </c>
    </row>
    <row r="19">
      <c r="A19" s="14" t="inlineStr">
        <is>
          <t>Peak funding need through 2036 (cumulative cash low point)</t>
        </is>
      </c>
      <c r="B19" s="15">
        <f>-MIN('PF Low'!$B$105:$K$105)</f>
        <v/>
      </c>
      <c r="C19" s="15">
        <f>-MIN('Pro Forma'!$B$105:$K$105)</f>
        <v/>
      </c>
      <c r="D19" s="15">
        <f>-MIN('PF High'!$B$105:$K$105)</f>
        <v/>
      </c>
      <c r="E19" s="15">
        <f>-MIN('PF Stress'!$B$105:$K$105)</f>
        <v/>
      </c>
      <c r="F19" s="16" t="inlineStr">
        <is>
          <t>Largest cumulative cash need before financing; if the low point is 2036 the need is still growing</t>
        </is>
      </c>
    </row>
    <row r="20">
      <c r="A20" s="9" t="inlineStr">
        <is>
          <t>Year of the low point</t>
        </is>
      </c>
      <c r="B20" s="11">
        <f>INDEX('PF Low'!$B$6:$K$6,MATCH(MIN('PF Low'!$B$105:$K$105),'PF Low'!$B$105:$K$105,0))</f>
        <v/>
      </c>
      <c r="C20" s="11">
        <f>INDEX('Pro Forma'!$B$6:$K$6,MATCH(MIN('Pro Forma'!$B$105:$K$105),'Pro Forma'!$B$105:$K$105,0))</f>
        <v/>
      </c>
      <c r="D20" s="11">
        <f>INDEX('PF High'!$B$6:$K$6,MATCH(MIN('PF High'!$B$105:$K$105),'PF High'!$B$105:$K$105,0))</f>
        <v/>
      </c>
      <c r="E20" s="11">
        <f>INDEX('PF Stress'!$B$6:$K$6,MATCH(MIN('PF Stress'!$B$105:$K$105),'PF Stress'!$B$105:$K$105,0))</f>
        <v/>
      </c>
    </row>
    <row r="21">
      <c r="A21" s="9" t="inlineStr">
        <is>
          <t>Cumulative cash at end of 2036</t>
        </is>
      </c>
      <c r="B21" s="10">
        <f>'PF Low'!K105</f>
        <v/>
      </c>
      <c r="C21" s="10">
        <f>'Pro Forma'!K105</f>
        <v/>
      </c>
      <c r="D21" s="10">
        <f>'PF High'!K105</f>
        <v/>
      </c>
      <c r="E21" s="10">
        <f>'PF Stress'!K105</f>
        <v/>
      </c>
    </row>
    <row r="22">
      <c r="A22" s="7" t="inlineStr">
        <is>
          <t>OPERATIONS AT STABILIZATION (all phases open, 2026 USD)</t>
        </is>
      </c>
      <c r="B22" s="8" t="n"/>
      <c r="C22" s="8" t="n"/>
      <c r="D22" s="8" t="n"/>
      <c r="E22" s="8" t="n"/>
      <c r="F22" s="8" t="n"/>
    </row>
    <row r="23">
      <c r="A23" s="9" t="inlineStr">
        <is>
          <t>Earned revenue</t>
        </is>
      </c>
      <c r="B23" s="10">
        <f>'PF Low'!L58</f>
        <v/>
      </c>
      <c r="C23" s="10">
        <f>'Pro Forma'!L58</f>
        <v/>
      </c>
      <c r="D23" s="10">
        <f>'PF High'!L58</f>
        <v/>
      </c>
      <c r="E23" s="10">
        <f>'PF Stress'!L58</f>
        <v/>
      </c>
    </row>
    <row r="24">
      <c r="A24" s="9" t="inlineStr">
        <is>
          <t>Contributed income</t>
        </is>
      </c>
      <c r="B24" s="10">
        <f>'PF Low'!L64</f>
        <v/>
      </c>
      <c r="C24" s="10">
        <f>'Pro Forma'!L64</f>
        <v/>
      </c>
      <c r="D24" s="10">
        <f>'PF High'!L64</f>
        <v/>
      </c>
      <c r="E24" s="10">
        <f>'PF Stress'!L64</f>
        <v/>
      </c>
    </row>
    <row r="25">
      <c r="A25" s="9" t="inlineStr">
        <is>
          <t>Operating expenses</t>
        </is>
      </c>
      <c r="B25" s="10">
        <f>'PF Low'!L99</f>
        <v/>
      </c>
      <c r="C25" s="10">
        <f>'Pro Forma'!L99</f>
        <v/>
      </c>
      <c r="D25" s="10">
        <f>'PF High'!L99</f>
        <v/>
      </c>
      <c r="E25" s="10">
        <f>'PF Stress'!L99</f>
        <v/>
      </c>
    </row>
    <row r="26">
      <c r="A26" s="9" t="inlineStr">
        <is>
          <t>Net operating result, earned only</t>
        </is>
      </c>
      <c r="B26" s="10">
        <f>'PF Low'!L101</f>
        <v/>
      </c>
      <c r="C26" s="10">
        <f>'Pro Forma'!L101</f>
        <v/>
      </c>
      <c r="D26" s="10">
        <f>'PF High'!L101</f>
        <v/>
      </c>
      <c r="E26" s="10">
        <f>'PF Stress'!L101</f>
        <v/>
      </c>
    </row>
    <row r="27">
      <c r="A27" s="14" t="inlineStr">
        <is>
          <t>Net result after contributed income</t>
        </is>
      </c>
      <c r="B27" s="15">
        <f>'PF Low'!L102</f>
        <v/>
      </c>
      <c r="C27" s="15">
        <f>'Pro Forma'!L102</f>
        <v/>
      </c>
      <c r="D27" s="15">
        <f>'PF High'!L102</f>
        <v/>
      </c>
      <c r="E27" s="15">
        <f>'PF Stress'!L102</f>
        <v/>
      </c>
      <c r="F27" s="16" t="inlineStr">
        <is>
          <t>Negative = annual gap that patrons, an endowment or a leaner plan must close</t>
        </is>
      </c>
    </row>
    <row r="28">
      <c r="A28" s="9" t="inlineStr">
        <is>
          <t>Earned share of revenue</t>
        </is>
      </c>
      <c r="B28" s="13">
        <f>'PF Low'!L66</f>
        <v/>
      </c>
      <c r="C28" s="13">
        <f>'Pro Forma'!L66</f>
        <v/>
      </c>
      <c r="D28" s="13">
        <f>'PF High'!L66</f>
        <v/>
      </c>
      <c r="E28" s="13">
        <f>'PF Stress'!L66</f>
        <v/>
      </c>
      <c r="F28" s="16" t="inlineStr">
        <is>
          <t>Esalen about 90% earned, Omega 62%, Storm King 17%, MacDowell 2% (S21)</t>
        </is>
      </c>
    </row>
    <row r="29">
      <c r="A29" s="9" t="inlineStr">
        <is>
          <t>Cost of owning in Ojai (property tax + insurance + maintenance)</t>
        </is>
      </c>
      <c r="B29" s="10">
        <f>'PF Low'!L93+'PF Low'!L91+'PF Low'!L90</f>
        <v/>
      </c>
      <c r="C29" s="10">
        <f>'Pro Forma'!L93+'Pro Forma'!L91+'Pro Forma'!L90</f>
        <v/>
      </c>
      <c r="D29" s="10">
        <f>'PF High'!L93+'PF High'!L91+'PF High'!L90</f>
        <v/>
      </c>
      <c r="E29" s="10">
        <f>'PF Stress'!L93+'PF Stress'!L91+'PF Stress'!L90</f>
        <v/>
      </c>
      <c r="F29" s="16" t="inlineStr">
        <is>
          <t>California carrying cost of the buildings themselves</t>
        </is>
      </c>
    </row>
    <row r="30">
      <c r="A30" s="9" t="inlineStr">
        <is>
          <t>Endowment to close the gap (at the draw rate)</t>
        </is>
      </c>
      <c r="B30" s="10">
        <f>MAX(0,-'PF Low'!L102)/Assumptions!$E$190</f>
        <v/>
      </c>
      <c r="C30" s="10">
        <f>MAX(0,-'Pro Forma'!L102)/Assumptions!$F$190</f>
        <v/>
      </c>
      <c r="D30" s="10">
        <f>MAX(0,-'PF High'!L102)/Assumptions!$G$190</f>
        <v/>
      </c>
      <c r="E30" s="10">
        <f>MAX(0,-'PF Stress'!L102)/Assumptions!$H$190</f>
        <v/>
      </c>
    </row>
    <row r="31">
      <c r="A31" s="7" t="inlineStr">
        <is>
          <t>BREAK-EVEN</t>
        </is>
      </c>
      <c r="B31" s="8" t="n"/>
      <c r="C31" s="8" t="n"/>
      <c r="D31" s="8" t="n"/>
      <c r="E31" s="8" t="n"/>
      <c r="F31" s="8" t="n"/>
    </row>
    <row r="32">
      <c r="A32" s="9" t="inlineStr">
        <is>
          <t>Break-even year, earned revenue only</t>
        </is>
      </c>
      <c r="B32" s="11">
        <f>IF(MIN('PF Low'!$B$109:$K$109)=9999,"Not by 2036",MIN('PF Low'!$B$109:$K$109))</f>
        <v/>
      </c>
      <c r="C32" s="11">
        <f>IF(MIN('Pro Forma'!$B$109:$K$109)=9999,"Not by 2036",MIN('Pro Forma'!$B$109:$K$109))</f>
        <v/>
      </c>
      <c r="D32" s="11">
        <f>IF(MIN('PF High'!$B$109:$K$109)=9999,"Not by 2036",MIN('PF High'!$B$109:$K$109))</f>
        <v/>
      </c>
      <c r="E32" s="11">
        <f>IF(MIN('PF Stress'!$B$109:$K$109)=9999,"Not by 2036",MIN('PF Stress'!$B$109:$K$109))</f>
        <v/>
      </c>
    </row>
    <row r="33">
      <c r="A33" s="14" t="inlineStr">
        <is>
          <t>Break-even year, with contributed income</t>
        </is>
      </c>
      <c r="B33" s="17">
        <f>IF(MIN('PF Low'!$B$110:$K$110)=9999,"Not by 2036",MIN('PF Low'!$B$110:$K$110))</f>
        <v/>
      </c>
      <c r="C33" s="17">
        <f>IF(MIN('Pro Forma'!$B$110:$K$110)=9999,"Not by 2036",MIN('Pro Forma'!$B$110:$K$110))</f>
        <v/>
      </c>
      <c r="D33" s="17">
        <f>IF(MIN('PF High'!$B$110:$K$110)=9999,"Not by 2036",MIN('PF High'!$B$110:$K$110))</f>
        <v/>
      </c>
      <c r="E33" s="17">
        <f>IF(MIN('PF Stress'!$B$110:$K$110)=9999,"Not by 2036",MIN('PF Stress'!$B$110:$K$110))</f>
        <v/>
      </c>
    </row>
    <row r="34">
      <c r="A34" s="7" t="inlineStr">
        <is>
          <t>CABIN ECONOMICS (one cabin, stabilized)</t>
        </is>
      </c>
      <c r="B34" s="8" t="n"/>
      <c r="C34" s="8" t="n"/>
      <c r="D34" s="8" t="n"/>
      <c r="E34" s="8" t="n"/>
      <c r="F34" s="8" t="n"/>
    </row>
    <row r="35">
      <c r="A35" s="9" t="inlineStr">
        <is>
          <t>Installed cost per cabin, delivered to Ojai</t>
        </is>
      </c>
      <c r="B35" s="10">
        <f>'Sources &amp; Uses'!D15</f>
        <v/>
      </c>
      <c r="C35" s="10">
        <f>'Sources &amp; Uses'!E15</f>
        <v/>
      </c>
      <c r="D35" s="10">
        <f>'Sources &amp; Uses'!F15</f>
        <v/>
      </c>
      <c r="E35" s="10">
        <f>'Sources &amp; Uses'!G15</f>
        <v/>
      </c>
    </row>
    <row r="36">
      <c r="A36" s="9" t="inlineStr">
        <is>
          <t>All-in cost per cabin (with soft costs and contingency)</t>
        </is>
      </c>
      <c r="B36" s="10">
        <f>B35*(1+Assumptions!$E$28)*(1+Assumptions!$E$33)</f>
        <v/>
      </c>
      <c r="C36" s="10">
        <f>C35*(1+Assumptions!$F$28)*(1+Assumptions!$F$33)</f>
        <v/>
      </c>
      <c r="D36" s="10">
        <f>D35*(1+Assumptions!$G$28)*(1+Assumptions!$G$33)</f>
        <v/>
      </c>
      <c r="E36" s="10">
        <f>E35*(1+Assumptions!$H$28)*(1+Assumptions!$H$33)</f>
        <v/>
      </c>
    </row>
    <row r="37">
      <c r="A37" s="9" t="inlineStr">
        <is>
          <t>Paid nights per cabin per year (program guests, incl. retreats)</t>
        </is>
      </c>
      <c r="B37" s="10">
        <f>'PF Low'!L37/Assumptions!$E$16</f>
        <v/>
      </c>
      <c r="C37" s="10">
        <f>'Pro Forma'!L37/Assumptions!$F$16</f>
        <v/>
      </c>
      <c r="D37" s="10">
        <f>'PF High'!L37/Assumptions!$G$16</f>
        <v/>
      </c>
      <c r="E37" s="10">
        <f>'PF Stress'!L37/Assumptions!$H$16</f>
        <v/>
      </c>
    </row>
    <row r="38">
      <c r="A38" s="9" t="inlineStr">
        <is>
          <t>Residency nights per cabin per year</t>
        </is>
      </c>
      <c r="B38" s="10">
        <f>Assumptions!$E$106*Assumptions!$E$107*Assumptions!$E$105/Assumptions!$E$16</f>
        <v/>
      </c>
      <c r="C38" s="10">
        <f>Assumptions!$F$106*Assumptions!$F$107*Assumptions!$F$105/Assumptions!$F$16</f>
        <v/>
      </c>
      <c r="D38" s="10">
        <f>Assumptions!$G$106*Assumptions!$G$107*Assumptions!$G$105/Assumptions!$G$16</f>
        <v/>
      </c>
      <c r="E38" s="10">
        <f>Assumptions!$H$106*Assumptions!$H$107*Assumptions!$H$105/Assumptions!$H$16</f>
        <v/>
      </c>
    </row>
    <row r="39">
      <c r="A39" s="9" t="inlineStr">
        <is>
          <t>Nightly rate (ADR)</t>
        </is>
      </c>
      <c r="B39" s="10">
        <f>Assumptions!$E$99</f>
        <v/>
      </c>
      <c r="C39" s="10">
        <f>Assumptions!$F$99</f>
        <v/>
      </c>
      <c r="D39" s="10">
        <f>Assumptions!$G$99</f>
        <v/>
      </c>
      <c r="E39" s="10">
        <f>Assumptions!$H$99</f>
        <v/>
      </c>
    </row>
    <row r="40">
      <c r="A40" s="9" t="inlineStr">
        <is>
          <t>Lodging value per cabin (retreat nights valued at the nightly rate, inside the all-in price)</t>
        </is>
      </c>
      <c r="B40" s="10">
        <f>B37*Assumptions!$E$99</f>
        <v/>
      </c>
      <c r="C40" s="10">
        <f>C37*Assumptions!$F$99</f>
        <v/>
      </c>
      <c r="D40" s="10">
        <f>D37*Assumptions!$G$99</f>
        <v/>
      </c>
      <c r="E40" s="10">
        <f>E37*Assumptions!$H$99</f>
        <v/>
      </c>
      <c r="F40" s="16" t="inlineStr">
        <is>
          <t>Retreat nights are valued at the nightly rate as the lodging share of the all-in price</t>
        </is>
      </c>
    </row>
    <row r="41">
      <c r="A41" s="9" t="inlineStr">
        <is>
          <t>F&amp;B margin per cabin</t>
        </is>
      </c>
      <c r="B41" s="10">
        <f>B37*Assumptions!$E$101*Assumptions!$E$102*(1-Assumptions!$E$173)</f>
        <v/>
      </c>
      <c r="C41" s="10">
        <f>C37*Assumptions!$F$101*Assumptions!$F$102*(1-Assumptions!$F$173)</f>
        <v/>
      </c>
      <c r="D41" s="10">
        <f>D37*Assumptions!$G$101*Assumptions!$G$102*(1-Assumptions!$G$173)</f>
        <v/>
      </c>
      <c r="E41" s="10">
        <f>E37*Assumptions!$H$101*Assumptions!$H$102*(1-Assumptions!$H$173)</f>
        <v/>
      </c>
    </row>
    <row r="42">
      <c r="A42" s="9" t="inlineStr">
        <is>
          <t>Housekeeping per cabin (the cleaner, loaded, shared across the cabins)</t>
        </is>
      </c>
      <c r="B42" s="10">
        <f>Assumptions!$E$212*Assumptions!$E$213*Assumptions!$E$167/Assumptions!$E$16</f>
        <v/>
      </c>
      <c r="C42" s="10">
        <f>Assumptions!$F$212*Assumptions!$F$213*Assumptions!$F$167/Assumptions!$F$16</f>
        <v/>
      </c>
      <c r="D42" s="10">
        <f>Assumptions!$G$212*Assumptions!$G$213*Assumptions!$G$167/Assumptions!$G$16</f>
        <v/>
      </c>
      <c r="E42" s="10">
        <f>Assumptions!$H$212*Assumptions!$H$213*Assumptions!$H$167/Assumptions!$H$16</f>
        <v/>
      </c>
    </row>
    <row r="43">
      <c r="A43" s="9" t="inlineStr">
        <is>
          <t>Supplies and laundry per cabin</t>
        </is>
      </c>
      <c r="B43" s="10">
        <f>(B37+B38)*Assumptions!$E$174</f>
        <v/>
      </c>
      <c r="C43" s="10">
        <f>(C37+C38)*Assumptions!$F$174</f>
        <v/>
      </c>
      <c r="D43" s="10">
        <f>(D37+D38)*Assumptions!$G$174</f>
        <v/>
      </c>
      <c r="E43" s="10">
        <f>(E37+E38)*Assumptions!$H$174</f>
        <v/>
      </c>
    </row>
    <row r="44">
      <c r="A44" s="9" t="inlineStr">
        <is>
          <t>Booking fees and replacement reserve per cabin</t>
        </is>
      </c>
      <c r="B44" s="10">
        <f>(B40+B37*Assumptions!$E$101*Assumptions!$E$102)*(Assumptions!$E$187+Assumptions!$E$188)</f>
        <v/>
      </c>
      <c r="C44" s="10">
        <f>(C40+C37*Assumptions!$F$101*Assumptions!$F$102)*(Assumptions!$F$187+Assumptions!$F$188)</f>
        <v/>
      </c>
      <c r="D44" s="10">
        <f>(D40+D37*Assumptions!$G$101*Assumptions!$G$102)*(Assumptions!$G$187+Assumptions!$G$188)</f>
        <v/>
      </c>
      <c r="E44" s="10">
        <f>(E40+E37*Assumptions!$H$101*Assumptions!$H$102)*(Assumptions!$H$187+Assumptions!$H$188)</f>
        <v/>
      </c>
    </row>
    <row r="45">
      <c r="A45" s="9" t="inlineStr">
        <is>
          <t>Maintenance, insurance and property tax per cabin</t>
        </is>
      </c>
      <c r="B45" s="10">
        <f>B35*(Assumptions!$E$178+Assumptions!$E$179)+B36*Assumptions!$E$182*(1-Assumptions!$E$184)</f>
        <v/>
      </c>
      <c r="C45" s="10">
        <f>C35*(Assumptions!$F$178+Assumptions!$F$179)+C36*Assumptions!$F$182*(1-Assumptions!$F$184)</f>
        <v/>
      </c>
      <c r="D45" s="10">
        <f>D35*(Assumptions!$G$178+Assumptions!$G$179)+D36*Assumptions!$G$182*(1-Assumptions!$G$184)</f>
        <v/>
      </c>
      <c r="E45" s="10">
        <f>E35*(Assumptions!$H$178+Assumptions!$H$179)+E36*Assumptions!$H$182*(1-Assumptions!$H$184)</f>
        <v/>
      </c>
    </row>
    <row r="46">
      <c r="A46" s="9" t="inlineStr">
        <is>
          <t>Contribution per cabin per year</t>
        </is>
      </c>
      <c r="B46" s="10">
        <f>B40+B41-B42-B43-B44-B45</f>
        <v/>
      </c>
      <c r="C46" s="10">
        <f>C40+C41-C42-C43-C44-C45</f>
        <v/>
      </c>
      <c r="D46" s="10">
        <f>D40+D41-D42-D43-D44-D45</f>
        <v/>
      </c>
      <c r="E46" s="10">
        <f>E40+E41-E42-E43-E44-E45</f>
        <v/>
      </c>
    </row>
    <row r="47">
      <c r="A47" s="14" t="inlineStr">
        <is>
          <t>Cabin payback (years, all-in cost / contribution)</t>
        </is>
      </c>
      <c r="B47" s="18">
        <f>IF(B46&gt;0,B36/B46,"No payback")</f>
        <v/>
      </c>
      <c r="C47" s="18">
        <f>IF(C46&gt;0,C36/C46,"No payback")</f>
        <v/>
      </c>
      <c r="D47" s="18">
        <f>IF(D46&gt;0,D36/D46,"No payback")</f>
        <v/>
      </c>
      <c r="E47" s="18">
        <f>IF(E46&gt;0,E36/E46,"No payback")</f>
        <v/>
      </c>
      <c r="F47" s="16" t="inlineStr">
        <is>
          <t>All-in cost / yearly contribution of one cabin</t>
        </is>
      </c>
    </row>
    <row r="48">
      <c r="A48" s="9" t="inlineStr">
        <is>
          <t>Direct cost per occupied cabin night</t>
        </is>
      </c>
      <c r="B48" s="10">
        <f>(B42+B43+B44+B45)/(B37+B38)</f>
        <v/>
      </c>
      <c r="C48" s="10">
        <f>(C42+C43+C44+C45)/(C37+C38)</f>
        <v/>
      </c>
      <c r="D48" s="10">
        <f>(D42+D43+D44+D45)/(D37+D38)</f>
        <v/>
      </c>
      <c r="E48" s="10">
        <f>(E42+E43+E44+E45)/(E37+E38)</f>
        <v/>
      </c>
    </row>
    <row r="49">
      <c r="A49" s="9" t="inlineStr">
        <is>
          <t>All-in operating cost per occupied cabin night (whole campus)</t>
        </is>
      </c>
      <c r="B49" s="10">
        <f>'PF Low'!L99/'PF Low'!L39</f>
        <v/>
      </c>
      <c r="C49" s="10">
        <f>'Pro Forma'!L99/'Pro Forma'!L39</f>
        <v/>
      </c>
      <c r="D49" s="10">
        <f>'PF High'!L99/'PF High'!L39</f>
        <v/>
      </c>
      <c r="E49" s="10">
        <f>'PF Stress'!L99/'PF Stress'!L39</f>
        <v/>
      </c>
      <c r="F49" s="16" t="inlineStr">
        <is>
          <t>Total campus operating cost divided by occupied cabin nights</t>
        </is>
      </c>
    </row>
    <row r="50">
      <c r="A50" s="9" t="inlineStr">
        <is>
          <t>Billed cabin revenue per available cabin night</t>
        </is>
      </c>
      <c r="B50" s="10">
        <f>'PF Low'!L108</f>
        <v/>
      </c>
      <c r="C50" s="10">
        <f>'Pro Forma'!L108</f>
        <v/>
      </c>
      <c r="D50" s="10">
        <f>'PF High'!L108</f>
        <v/>
      </c>
      <c r="E50" s="10">
        <f>'PF Stress'!L108</f>
        <v/>
      </c>
    </row>
    <row r="51">
      <c r="A51" s="7" t="inlineStr">
        <is>
          <t>CHECKS</t>
        </is>
      </c>
      <c r="B51" s="8" t="n"/>
      <c r="C51" s="8" t="n"/>
      <c r="D51" s="8" t="n"/>
      <c r="E51" s="8" t="n"/>
      <c r="F51" s="8" t="n"/>
    </row>
    <row r="52">
      <c r="A52" s="9" t="inlineStr">
        <is>
          <t>Sources minus uses (0 = balanced)</t>
        </is>
      </c>
      <c r="B52" s="10">
        <f>'Sources &amp; Uses'!D82</f>
        <v/>
      </c>
      <c r="C52" s="10">
        <f>'Sources &amp; Uses'!E82</f>
        <v/>
      </c>
      <c r="D52" s="10">
        <f>'Sources &amp; Uses'!F82</f>
        <v/>
      </c>
      <c r="E52" s="10">
        <f>'Sources &amp; Uses'!G82</f>
        <v/>
      </c>
    </row>
    <row r="53">
      <c r="A53" s="9" t="inlineStr">
        <is>
          <t>Capex schedule minus (project cost + pre-opening) (0 at zero inflation)</t>
        </is>
      </c>
      <c r="B53" s="10">
        <f>Capex!$N$91-'Sources &amp; Uses'!D60-'Sources &amp; Uses'!D66</f>
        <v/>
      </c>
      <c r="C53" s="10">
        <f>Capex!$N$46-'Sources &amp; Uses'!E60-'Sources &amp; Uses'!E66</f>
        <v/>
      </c>
      <c r="D53" s="10">
        <f>Capex!$N$136-'Sources &amp; Uses'!F60-'Sources &amp; Uses'!F66</f>
        <v/>
      </c>
      <c r="E53" s="10">
        <f>Capex!$N$181-'Sources &amp; Uses'!G60-'Sources &amp; Uses'!G66</f>
        <v/>
      </c>
    </row>
    <row r="54">
      <c r="A54" s="9" t="inlineStr">
        <is>
          <t>Utilization at stabilization (85% ceiling)</t>
        </is>
      </c>
      <c r="B54" s="13">
        <f>'PF Low'!L40</f>
        <v/>
      </c>
      <c r="C54" s="13">
        <f>'Pro Forma'!L40</f>
        <v/>
      </c>
      <c r="D54" s="13">
        <f>'PF High'!L40</f>
        <v/>
      </c>
      <c r="E54" s="13">
        <f>'PF Stress'!L40</f>
        <v/>
      </c>
    </row>
    <row r="55">
      <c r="A55" s="9" t="inlineStr">
        <is>
          <t>Large events vs assumed use-permit cap</t>
        </is>
      </c>
      <c r="B55" s="19">
        <f>IF('PF Low'!L31&lt;=Assumptions!$E$128+0.0001,"Within cap","Over cap")</f>
        <v/>
      </c>
      <c r="C55" s="19">
        <f>IF('Pro Forma'!L31&lt;=Assumptions!$F$128+0.0001,"Within cap","Over cap")</f>
        <v/>
      </c>
      <c r="D55" s="19">
        <f>IF('PF High'!L31&lt;=Assumptions!$G$128+0.0001,"Within cap","Over cap")</f>
        <v/>
      </c>
      <c r="E55" s="19">
        <f>IF('PF Stress'!L31&lt;=Assumptions!$H$128+0.0001,"Within cap","Over cap")</f>
        <v/>
      </c>
      <c r="F55" s="16" t="inlineStr">
        <is>
          <t>Base needs a camp permit that writes in about 12 large evenings a year</t>
        </is>
      </c>
    </row>
    <row r="56">
      <c r="A56" s="9" t="inlineStr">
        <is>
          <t>Overnight people at full occupancy (2 per cabin + staff) vs camp density</t>
        </is>
      </c>
      <c r="B56" s="19">
        <f>IF(Assumptions!$E$16*Assumptions!$E$18+Assumptions!$E$131&lt;=Assumptions!$E$129*Assumptions!$E$35,"Within camp density","Over camp density")</f>
        <v/>
      </c>
      <c r="C56" s="19">
        <f>IF(Assumptions!$F$16*Assumptions!$F$18+Assumptions!$F$131&lt;=Assumptions!$F$129*Assumptions!$F$35,"Within camp density","Over camp density")</f>
        <v/>
      </c>
      <c r="D56" s="19">
        <f>IF(Assumptions!$G$16*Assumptions!$G$18+Assumptions!$G$131&lt;=Assumptions!$G$129*Assumptions!$G$35,"Within camp density","Over camp density")</f>
        <v/>
      </c>
      <c r="E56" s="19">
        <f>IF(Assumptions!$H$16*Assumptions!$H$18+Assumptions!$H$131&lt;=Assumptions!$H$129*Assumptions!$H$35,"Within camp density","Over camp density")</f>
        <v/>
      </c>
      <c r="F56" s="16" t="inlineStr">
        <is>
          <t>Camp standard: 2.56 overnight people per acre (S28); the 20-person retreat standard is not the path</t>
        </is>
      </c>
    </row>
    <row r="57">
      <c r="A57" s="9" t="inlineStr">
        <is>
          <t>Land area vs the camp use permit minimum (10 acres in RA)</t>
        </is>
      </c>
      <c r="B57" s="19">
        <f>IF(Assumptions!$E$35&gt;=Assumptions!$E$130,"At or above the minimum","Below the camp minimum")</f>
        <v/>
      </c>
      <c r="C57" s="19">
        <f>IF(Assumptions!$F$35&gt;=Assumptions!$F$130,"At or above the minimum","Below the camp minimum")</f>
        <v/>
      </c>
      <c r="D57" s="19">
        <f>IF(Assumptions!$G$35&gt;=Assumptions!$G$130,"At or above the minimum","Below the camp minimum")</f>
        <v/>
      </c>
      <c r="E57" s="19">
        <f>IF(Assumptions!$H$35&gt;=Assumptions!$H$130,"At or above the minimum","Below the camp minimum")</f>
        <v/>
      </c>
      <c r="F57" s="16" t="inlineStr">
        <is>
          <t>NCZO camp standard: 10 acre minimum in RA (S28); the research also put the building-area need at about 16 to 31 acres</t>
        </is>
      </c>
    </row>
  </sheetData>
  <pageMargins left="0.75" right="0.75" top="1" bottom="1" header="0.5" footer="0.5"/>
  <pageSetup orientation="landscape" fitToWidth="1"/>
</worksheet>
</file>

<file path=xl/worksheets/sheet2.xml><?xml version="1.0" encoding="utf-8"?>
<worksheet xmlns="http://schemas.openxmlformats.org/spreadsheetml/2006/main">
  <sheetPr>
    <outlinePr summaryBelow="1" summaryRight="1"/>
    <pageSetUpPr fitToPage="1"/>
  </sheetPr>
  <dimension ref="A1:G2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20" customWidth="1" min="2" max="2"/>
    <col width="16" customWidth="1" min="3" max="3"/>
    <col width="20" customWidth="1" min="4" max="4"/>
    <col width="16" customWidth="1" min="5" max="5"/>
    <col width="18" customWidth="1" min="6" max="6"/>
    <col width="52" customWidth="1" min="7" max="7"/>
  </cols>
  <sheetData>
    <row r="1">
      <c r="A1" s="1" t="inlineStr">
        <is>
          <t>Bastion  -  What moves the result (base case, one change at a time)</t>
        </is>
      </c>
    </row>
    <row r="2">
      <c r="A2" s="2" t="inlineStr">
        <is>
          <t>Static snapshot computed 2026-10-14 by re-running this model with one input changed. To reproduce, change the input on Assumptions (Base column) and read Scenarios.</t>
        </is>
      </c>
    </row>
    <row r="4">
      <c r="A4" s="3" t="inlineStr">
        <is>
          <t>Lever</t>
        </is>
      </c>
      <c r="B4" s="4" t="inlineStr">
        <is>
          <t>Stabilized result after contributed income</t>
        </is>
      </c>
      <c r="C4" s="4" t="inlineStr">
        <is>
          <t>Change vs base</t>
        </is>
      </c>
      <c r="D4" s="4" t="inlineStr">
        <is>
          <t>Peak funding need through 2036</t>
        </is>
      </c>
      <c r="E4" s="4" t="inlineStr">
        <is>
          <t>Change vs base</t>
        </is>
      </c>
      <c r="F4" s="4" t="inlineStr">
        <is>
          <t>Total project cost</t>
        </is>
      </c>
      <c r="G4" s="4" t="inlineStr">
        <is>
          <t>Note</t>
        </is>
      </c>
    </row>
    <row r="5">
      <c r="A5" s="14" t="inlineStr">
        <is>
          <t>Base case</t>
        </is>
      </c>
      <c r="B5" s="20" t="n">
        <v>-713270</v>
      </c>
      <c r="C5" s="20" t="n">
        <v>0</v>
      </c>
      <c r="D5" s="20" t="n">
        <v>36164895</v>
      </c>
      <c r="E5" s="20" t="n">
        <v>0</v>
      </c>
      <c r="F5" s="20" t="n">
        <v>28678066</v>
      </c>
    </row>
    <row r="6">
      <c r="A6" s="9" t="inlineStr">
        <is>
          <t>Nonprofit owner: welfare exemption on 75% of assessed value</t>
        </is>
      </c>
      <c r="B6" s="21" t="n">
        <v>-486524</v>
      </c>
      <c r="C6" s="21" t="n">
        <v>226746</v>
      </c>
      <c r="D6" s="21" t="n">
        <v>34672716</v>
      </c>
      <c r="E6" s="21" t="n">
        <v>-1492179</v>
      </c>
      <c r="F6" s="21" t="n">
        <v>28678066</v>
      </c>
      <c r="G6" s="2" t="inlineStr">
        <is>
          <t>Needs a 501(c)(3) owner-operator; research for counsel</t>
        </is>
      </c>
    </row>
    <row r="7">
      <c r="A7" s="9" t="inlineStr">
        <is>
          <t>Fuller retreats and weekends (20 guests per retreat, 16 per weekend)</t>
        </is>
      </c>
      <c r="B7" s="21" t="n">
        <v>-504650</v>
      </c>
      <c r="C7" s="21" t="n">
        <v>208620</v>
      </c>
      <c r="D7" s="21" t="n">
        <v>34900658</v>
      </c>
      <c r="E7" s="21" t="n">
        <v>-1264238</v>
      </c>
      <c r="F7" s="21" t="n">
        <v>28678066</v>
      </c>
      <c r="G7" s="2" t="inlineStr">
        <is>
          <t>The top of our 10 to 20 guest range</t>
        </is>
      </c>
    </row>
    <row r="8">
      <c r="A8" s="9" t="inlineStr">
        <is>
          <t>14 retreats a year instead of 10</t>
        </is>
      </c>
      <c r="B8" s="21" t="n">
        <v>-566468</v>
      </c>
      <c r="C8" s="21" t="n">
        <v>146802</v>
      </c>
      <c r="D8" s="21" t="n">
        <v>35275277</v>
      </c>
      <c r="E8" s="21" t="n">
        <v>-889618</v>
      </c>
      <c r="F8" s="21" t="n">
        <v>28678066</v>
      </c>
      <c r="G8" s="2" t="inlineStr">
        <is>
          <t>More retreats to sell and staff</t>
        </is>
      </c>
    </row>
    <row r="9">
      <c r="A9" s="9" t="inlineStr">
        <is>
          <t>8 takeovers a year instead of 4</t>
        </is>
      </c>
      <c r="B9" s="21" t="n">
        <v>-434273</v>
      </c>
      <c r="C9" s="21" t="n">
        <v>278997</v>
      </c>
      <c r="D9" s="21" t="n">
        <v>34474175</v>
      </c>
      <c r="E9" s="21" t="n">
        <v>-1690721</v>
      </c>
      <c r="F9" s="21" t="n">
        <v>28678066</v>
      </c>
      <c r="G9" s="2" t="inlineStr">
        <is>
          <t>Needs a camp permit with about 16 large evenings</t>
        </is>
      </c>
    </row>
    <row r="10">
      <c r="A10" s="9" t="inlineStr">
        <is>
          <t>Program weekends almost every weekend (44 a year)</t>
        </is>
      </c>
      <c r="B10" s="21" t="n">
        <v>-534062</v>
      </c>
      <c r="C10" s="21" t="n">
        <v>179208</v>
      </c>
      <c r="D10" s="21" t="n">
        <v>35078895</v>
      </c>
      <c r="E10" s="21" t="n">
        <v>-1086000</v>
      </c>
      <c r="F10" s="21" t="n">
        <v>28678066</v>
      </c>
      <c r="G10" s="2" t="inlineStr">
        <is>
          <t>More structured programs to run</t>
        </is>
      </c>
    </row>
    <row r="11">
      <c r="A11" s="9" t="inlineStr">
        <is>
          <t>Nightly rate USD 650 instead of 550</t>
        </is>
      </c>
      <c r="B11" s="21" t="n">
        <v>-666657</v>
      </c>
      <c r="C11" s="21" t="n">
        <v>46613</v>
      </c>
      <c r="D11" s="21" t="n">
        <v>35882418</v>
      </c>
      <c r="E11" s="21" t="n">
        <v>-282477</v>
      </c>
      <c r="F11" s="21" t="n">
        <v>28678066</v>
      </c>
      <c r="G11" s="2" t="inlineStr">
        <is>
          <t>Weekend and takeover nights only; retreats are all-in</t>
        </is>
      </c>
    </row>
    <row r="12">
      <c r="A12" s="9" t="inlineStr">
        <is>
          <t>Contract services USD 150k instead of 250k</t>
        </is>
      </c>
      <c r="B12" s="21" t="n">
        <v>-613270</v>
      </c>
      <c r="C12" s="21" t="n">
        <v>100000</v>
      </c>
      <c r="D12" s="21" t="n">
        <v>35504895</v>
      </c>
      <c r="E12" s="21" t="n">
        <v>-660000</v>
      </c>
      <c r="F12" s="21" t="n">
        <v>28678066</v>
      </c>
      <c r="G12" s="2" t="inlineStr">
        <is>
          <t>Fewer contracted chefs, engineers and sound crew</t>
        </is>
      </c>
    </row>
    <row r="13">
      <c r="A13" s="9" t="inlineStr">
        <is>
          <t>Contributed income 50% higher</t>
        </is>
      </c>
      <c r="B13" s="21" t="n">
        <v>-173270</v>
      </c>
      <c r="C13" s="21" t="n">
        <v>540000</v>
      </c>
      <c r="D13" s="21" t="n">
        <v>32446995</v>
      </c>
      <c r="E13" s="21" t="n">
        <v>-3717900</v>
      </c>
      <c r="F13" s="21" t="n">
        <v>28678066</v>
      </c>
      <c r="G13" s="2" t="inlineStr"/>
    </row>
    <row r="14">
      <c r="A14" s="9" t="inlineStr">
        <is>
          <t>Half of residencies paid by labels or artists</t>
        </is>
      </c>
      <c r="B14" s="21" t="n">
        <v>-678270</v>
      </c>
      <c r="C14" s="21" t="n">
        <v>35000</v>
      </c>
      <c r="D14" s="21" t="n">
        <v>35952795</v>
      </c>
      <c r="E14" s="21" t="n">
        <v>-212100</v>
      </c>
      <c r="F14" s="21" t="n">
        <v>28678066</v>
      </c>
      <c r="G14" s="2" t="inlineStr">
        <is>
          <t>Fewer fellowships</t>
        </is>
      </c>
    </row>
    <row r="15">
      <c r="A15" s="9" t="inlineStr">
        <is>
          <t>Leaner program (artist fee USD 15k, film USD 10k)</t>
        </is>
      </c>
      <c r="B15" s="21" t="n">
        <v>-553270</v>
      </c>
      <c r="C15" s="21" t="n">
        <v>160000</v>
      </c>
      <c r="D15" s="21" t="n">
        <v>35195295</v>
      </c>
      <c r="E15" s="21" t="n">
        <v>-969600</v>
      </c>
      <c r="F15" s="21" t="n">
        <v>28678066</v>
      </c>
      <c r="G15" s="2" t="inlineStr"/>
    </row>
    <row r="16">
      <c r="A16" s="9" t="inlineStr">
        <is>
          <t>If public stays were allowed (30% of nights)</t>
        </is>
      </c>
      <c r="B16" s="21" t="n">
        <v>2403</v>
      </c>
      <c r="C16" s="21" t="n">
        <v>715673</v>
      </c>
      <c r="D16" s="21" t="n">
        <v>31446260</v>
      </c>
      <c r="E16" s="21" t="n">
        <v>-4718635</v>
      </c>
      <c r="F16" s="21" t="n">
        <v>28678066</v>
      </c>
      <c r="G16" s="2" t="inlineStr">
        <is>
          <t>Not allowed: the TRU overlay bans rentals under 30 days (S28). Shows what the rule costs</t>
        </is>
      </c>
    </row>
    <row r="17">
      <c r="A17" s="9" t="inlineStr">
        <is>
          <t>Insurance at 2.5% of value</t>
        </is>
      </c>
      <c r="B17" s="21" t="n">
        <v>-966711</v>
      </c>
      <c r="C17" s="21" t="n">
        <v>-253441</v>
      </c>
      <c r="D17" s="21" t="n">
        <v>37785242</v>
      </c>
      <c r="E17" s="21" t="n">
        <v>1620347</v>
      </c>
      <c r="F17" s="21" t="n">
        <v>28678066</v>
      </c>
      <c r="G17" s="2" t="inlineStr">
        <is>
          <t>Downside</t>
        </is>
      </c>
    </row>
    <row r="18">
      <c r="A18" s="9" t="inlineStr">
        <is>
          <t>A harder parcel: full-case site work (wells, a longer road, grading, a fire pump)</t>
        </is>
      </c>
      <c r="B18" s="21" t="n">
        <v>-877365</v>
      </c>
      <c r="C18" s="21" t="n">
        <v>-164095</v>
      </c>
      <c r="D18" s="21" t="n">
        <v>42818913</v>
      </c>
      <c r="E18" s="21" t="n">
        <v>6654017</v>
      </c>
      <c r="F18" s="21" t="n">
        <v>34275589</v>
      </c>
      <c r="G18" s="2" t="inlineStr">
        <is>
          <t>Downside; the base assumes an easy parcel (buildout research)</t>
        </is>
      </c>
    </row>
    <row r="19">
      <c r="A19" s="9" t="inlineStr">
        <is>
          <t>One more year of entitlement</t>
        </is>
      </c>
      <c r="B19" s="21" t="n">
        <v>-713270</v>
      </c>
      <c r="C19" s="21" t="n">
        <v>0</v>
      </c>
      <c r="D19" s="21" t="n">
        <v>35820930</v>
      </c>
      <c r="E19" s="21" t="n">
        <v>-343965</v>
      </c>
      <c r="F19" s="21" t="n">
        <v>28678066</v>
      </c>
      <c r="G19" s="2" t="inlineStr">
        <is>
          <t>Downside; the 2036 cut-off hides part of the cost</t>
        </is>
      </c>
    </row>
    <row r="20">
      <c r="A20" s="14" t="inlineStr">
        <is>
          <t>Combined: nonprofit owner, 14 fuller retreats, 44 fuller weekends, 8 takeovers, 50% more giving</t>
        </is>
      </c>
      <c r="B20" s="20" t="n">
        <v>975772</v>
      </c>
      <c r="C20" s="20" t="n">
        <v>1689042</v>
      </c>
      <c r="D20" s="20" t="n">
        <v>29243139</v>
      </c>
      <c r="E20" s="20" t="n">
        <v>-6921757</v>
      </c>
      <c r="F20" s="20" t="n">
        <v>28678066</v>
      </c>
      <c r="G20" s="2" t="inlineStr">
        <is>
          <t>Each piece needs a decision, a donor or a permit</t>
        </is>
      </c>
    </row>
  </sheetData>
  <pageMargins left="0.75" right="0.75" top="1" bottom="1" header="0.5" footer="0.5"/>
  <pageSetup orientation="landscape" fitToWidth="1"/>
</worksheet>
</file>

<file path=xl/worksheets/sheet3.xml><?xml version="1.0" encoding="utf-8"?>
<worksheet xmlns="http://schemas.openxmlformats.org/spreadsheetml/2006/main">
  <sheetPr>
    <outlinePr summaryBelow="1" summaryRight="1"/>
    <pageSetUpPr fitToPage="1"/>
  </sheetPr>
  <dimension ref="A1:I213"/>
  <sheetViews>
    <sheetView showGridLines="0" workbookViewId="0">
      <pane xSplit="4" ySplit="5" topLeftCell="E6" activePane="bottomRight" state="frozen"/>
      <selection pane="topRight"/>
      <selection pane="bottomLeft"/>
      <selection pane="bottomRight" activeCell="A1" sqref="A1"/>
    </sheetView>
  </sheetViews>
  <sheetFormatPr baseColWidth="8" defaultRowHeight="15"/>
  <cols>
    <col width="14" customWidth="1" min="1" max="1"/>
    <col width="16" customWidth="1" min="2" max="2"/>
    <col width="58" customWidth="1" min="3" max="3"/>
    <col width="9" customWidth="1" min="4" max="4"/>
    <col width="12" customWidth="1" min="5" max="5"/>
    <col width="12" customWidth="1" min="6" max="6"/>
    <col width="12" customWidth="1" min="7" max="7"/>
    <col width="12" customWidth="1" min="8" max="8"/>
    <col width="110" customWidth="1" min="9" max="9"/>
  </cols>
  <sheetData>
    <row r="1">
      <c r="A1" s="1" t="inlineStr">
        <is>
          <t>Bastion  -  Financial Model  -  Assumptions (inputs)</t>
        </is>
      </c>
    </row>
    <row r="2">
      <c r="A2" s="2" t="inlineStr">
        <is>
          <t>Planning model, not investment advice. Constant 2026 USD, Ojai, California (Ventura County) basis. Year 0 = 2027. Built 2026-10-13; revised 2026-10-14 with our planning targets and 2026-10-15 with the California buildout research (base at the Low tier).</t>
        </is>
      </c>
    </row>
    <row r="3" ht="44" customHeight="1">
      <c r="A3" s="22" t="inlineStr">
        <is>
          <t>Blue on yellow = input you can change. Black = formula. Every case has 12 cabins. Low = lean Bastion (5 acres, low end of the costs we have not set, cautious demand); Base = 25 acres; High = full Bastion (50 acres, top of range, strong demand); Stress = base scope with our targets plus 15%, high unit costs elsewhere, weak demand, opening a year later. Planning target = a number we set on 14 Oct 2026. Sources are listed on the Sources sheet (S01 to S29).</t>
        </is>
      </c>
    </row>
    <row r="5">
      <c r="A5" s="3" t="inlineStr">
        <is>
          <t>Group</t>
        </is>
      </c>
      <c r="B5" s="4" t="inlineStr">
        <is>
          <t>Key</t>
        </is>
      </c>
      <c r="C5" s="4" t="inlineStr">
        <is>
          <t>Input</t>
        </is>
      </c>
      <c r="D5" s="4" t="inlineStr">
        <is>
          <t>Unit</t>
        </is>
      </c>
      <c r="E5" s="4" t="inlineStr">
        <is>
          <t>Low</t>
        </is>
      </c>
      <c r="F5" s="4" t="inlineStr">
        <is>
          <t>Base</t>
        </is>
      </c>
      <c r="G5" s="4" t="inlineStr">
        <is>
          <t>High</t>
        </is>
      </c>
      <c r="H5" s="4" t="inlineStr">
        <is>
          <t>Stress</t>
        </is>
      </c>
      <c r="I5" s="4" t="inlineStr">
        <is>
          <t>Source / basis (Planning target = our number; research = cited; assumption = chosen number; draft = proposal)</t>
        </is>
      </c>
    </row>
    <row r="6">
      <c r="A6" s="7" t="inlineStr">
        <is>
          <t>Timing</t>
        </is>
      </c>
      <c r="B6" s="8" t="n"/>
      <c r="C6" s="8" t="n"/>
      <c r="D6" s="8" t="n"/>
      <c r="E6" s="8" t="n"/>
      <c r="F6" s="8" t="n"/>
      <c r="G6" s="8" t="n"/>
      <c r="H6" s="8" t="n"/>
      <c r="I6" s="8" t="n"/>
    </row>
    <row r="7">
      <c r="A7" s="23" t="inlineStr">
        <is>
          <t>Timing</t>
        </is>
      </c>
      <c r="B7" s="23" t="inlineStr">
        <is>
          <t>year0</t>
        </is>
      </c>
      <c r="C7" s="9" t="inlineStr">
        <is>
          <t>Year 0 (first model year)</t>
        </is>
      </c>
      <c r="D7" s="24" t="inlineStr">
        <is>
          <t>year</t>
        </is>
      </c>
      <c r="E7" s="25" t="n">
        <v>2027</v>
      </c>
      <c r="F7" s="25" t="n">
        <v>2027</v>
      </c>
      <c r="G7" s="25" t="n">
        <v>2027</v>
      </c>
      <c r="H7" s="26">
        <f>F7</f>
        <v/>
      </c>
      <c r="I7" s="27" t="inlineStr">
        <is>
          <t>Draft: Our brief: Year 0 = 2027, ten-year model 2027 to 2036</t>
        </is>
      </c>
    </row>
    <row r="8">
      <c r="A8" s="23" t="inlineStr">
        <is>
          <t>Timing</t>
        </is>
      </c>
      <c r="B8" s="23" t="inlineStr">
        <is>
          <t>land_year</t>
        </is>
      </c>
      <c r="C8" s="9" t="inlineStr">
        <is>
          <t>Land purchase year</t>
        </is>
      </c>
      <c r="D8" s="24" t="inlineStr">
        <is>
          <t>year</t>
        </is>
      </c>
      <c r="E8" s="25" t="n">
        <v>2027</v>
      </c>
      <c r="F8" s="25" t="n">
        <v>2027</v>
      </c>
      <c r="G8" s="25" t="n">
        <v>2027</v>
      </c>
      <c r="H8" s="26">
        <f>F8</f>
        <v/>
      </c>
      <c r="I8" s="27" t="inlineStr">
        <is>
          <t>Draft: Timeline: under contract May 2027, close Aug 2027 (draft)</t>
        </is>
      </c>
    </row>
    <row r="9">
      <c r="A9" s="23" t="inlineStr">
        <is>
          <t>Timing</t>
        </is>
      </c>
      <c r="B9" s="23" t="inlineStr">
        <is>
          <t>p1_open</t>
        </is>
      </c>
      <c r="C9" s="9" t="inlineStr">
        <is>
          <t>Phase 1 opening year (land, amphitheater, sound, bathhouse, the 12 cabins): guest stays begin</t>
        </is>
      </c>
      <c r="D9" s="24" t="inlineStr">
        <is>
          <t>year</t>
        </is>
      </c>
      <c r="E9" s="25" t="n">
        <v>2030</v>
      </c>
      <c r="F9" s="25" t="n">
        <v>2030</v>
      </c>
      <c r="G9" s="25" t="n">
        <v>2030</v>
      </c>
      <c r="H9" s="25" t="n">
        <v>2031</v>
      </c>
      <c r="I9" s="27" t="inlineStr">
        <is>
          <t>Planning target: Planning target, 14 Oct 2026: open in 2030, 36 months from land contract to opening, guest stays from 2030; Phase 1 built in 2029. Opens May 2030, 36 months after a May 2027 contract. The Ojai zoning research puts contract to opening at 42 to 108 months (S28), so this is faster than its fastest case. Stress adds one year</t>
        </is>
      </c>
    </row>
    <row r="10">
      <c r="A10" s="23" t="inlineStr">
        <is>
          <t>Timing</t>
        </is>
      </c>
      <c r="B10" s="23" t="inlineStr">
        <is>
          <t>p2_open</t>
        </is>
      </c>
      <c r="C10" s="9" t="inlineStr">
        <is>
          <t>Phase 2 opening year (studio and commons, built with Phase 1)</t>
        </is>
      </c>
      <c r="D10" s="24" t="inlineStr">
        <is>
          <t>year</t>
        </is>
      </c>
      <c r="E10" s="25" t="n">
        <v>2030</v>
      </c>
      <c r="F10" s="25" t="n">
        <v>2030</v>
      </c>
      <c r="G10" s="25" t="n">
        <v>2030</v>
      </c>
      <c r="H10" s="25" t="n">
        <v>2031</v>
      </c>
      <c r="I10" s="27" t="inlineStr">
        <is>
          <t>Planning target: Planning target, 14 Oct 2026: Phase 2 built in 2029, opening with Phase 1 in May 2030. Stress adds one year</t>
        </is>
      </c>
    </row>
    <row r="11">
      <c r="A11" s="23" t="inlineStr">
        <is>
          <t>Timing</t>
        </is>
      </c>
      <c r="B11" s="23" t="inlineStr">
        <is>
          <t>p3_open</t>
        </is>
      </c>
      <c r="C11" s="9" t="inlineStr">
        <is>
          <t>Phase 3 opening year (gallery, art and installations, the rest of the landscaping)</t>
        </is>
      </c>
      <c r="D11" s="24" t="inlineStr">
        <is>
          <t>year</t>
        </is>
      </c>
      <c r="E11" s="25" t="n">
        <v>2032</v>
      </c>
      <c r="F11" s="25" t="n">
        <v>2032</v>
      </c>
      <c r="G11" s="25" t="n">
        <v>2032</v>
      </c>
      <c r="H11" s="25" t="n">
        <v>2033</v>
      </c>
      <c r="I11" s="27" t="inlineStr">
        <is>
          <t>Planning target: Planning target, 14 Oct 2026: the second phase of work runs in the two years after the 2030 opening; gallery opens May 2032. Stress adds one year</t>
        </is>
      </c>
    </row>
    <row r="12">
      <c r="A12" s="23" t="inlineStr">
        <is>
          <t>Timing</t>
        </is>
      </c>
      <c r="B12" s="23" t="inlineStr">
        <is>
          <t>p1_frac</t>
        </is>
      </c>
      <c r="C12" s="9" t="inlineStr">
        <is>
          <t>Phase 1 share of opening year in operation</t>
        </is>
      </c>
      <c r="D12" s="24" t="inlineStr">
        <is>
          <t>share</t>
        </is>
      </c>
      <c r="E12" s="28" t="n">
        <v>0.6</v>
      </c>
      <c r="F12" s="28" t="n">
        <v>0.6</v>
      </c>
      <c r="G12" s="28" t="n">
        <v>0.6</v>
      </c>
      <c r="H12" s="29">
        <f>F12</f>
        <v/>
      </c>
      <c r="I12" s="27" t="inlineStr">
        <is>
          <t>Assumption: opens May</t>
        </is>
      </c>
    </row>
    <row r="13">
      <c r="A13" s="23" t="inlineStr">
        <is>
          <t>Timing</t>
        </is>
      </c>
      <c r="B13" s="23" t="inlineStr">
        <is>
          <t>p2_frac</t>
        </is>
      </c>
      <c r="C13" s="9" t="inlineStr">
        <is>
          <t>Phase 2 share of opening year in operation</t>
        </is>
      </c>
      <c r="D13" s="24" t="inlineStr">
        <is>
          <t>share</t>
        </is>
      </c>
      <c r="E13" s="28" t="n">
        <v>0.6</v>
      </c>
      <c r="F13" s="28" t="n">
        <v>0.6</v>
      </c>
      <c r="G13" s="28" t="n">
        <v>0.6</v>
      </c>
      <c r="H13" s="29">
        <f>F13</f>
        <v/>
      </c>
      <c r="I13" s="27" t="inlineStr">
        <is>
          <t>Assumption: opens May</t>
        </is>
      </c>
    </row>
    <row r="14">
      <c r="A14" s="23" t="inlineStr">
        <is>
          <t>Timing</t>
        </is>
      </c>
      <c r="B14" s="23" t="inlineStr">
        <is>
          <t>p3_frac</t>
        </is>
      </c>
      <c r="C14" s="9" t="inlineStr">
        <is>
          <t>Phase 3 share of opening year in operation</t>
        </is>
      </c>
      <c r="D14" s="24" t="inlineStr">
        <is>
          <t>share</t>
        </is>
      </c>
      <c r="E14" s="28" t="n">
        <v>0.6</v>
      </c>
      <c r="F14" s="28" t="n">
        <v>0.6</v>
      </c>
      <c r="G14" s="28" t="n">
        <v>0.6</v>
      </c>
      <c r="H14" s="29">
        <f>F14</f>
        <v/>
      </c>
      <c r="I14" s="27" t="inlineStr">
        <is>
          <t>Assumption: opens May</t>
        </is>
      </c>
    </row>
    <row r="15">
      <c r="A15" s="7" t="inlineStr">
        <is>
          <t>Cabins (arhome by Arcana)</t>
        </is>
      </c>
      <c r="B15" s="8" t="n"/>
      <c r="C15" s="8" t="n"/>
      <c r="D15" s="8" t="n"/>
      <c r="E15" s="8" t="n"/>
      <c r="F15" s="8" t="n"/>
      <c r="G15" s="8" t="n"/>
      <c r="H15" s="8" t="n"/>
      <c r="I15" s="8" t="n"/>
    </row>
    <row r="16">
      <c r="A16" s="23" t="inlineStr">
        <is>
          <t>Cabins (arhome by Arcana)</t>
        </is>
      </c>
      <c r="B16" s="23" t="inlineStr">
        <is>
          <t>cabins_total</t>
        </is>
      </c>
      <c r="C16" s="9" t="inlineStr">
        <is>
          <t>Arcana cabins, total</t>
        </is>
      </c>
      <c r="D16" s="24" t="inlineStr">
        <is>
          <t>count</t>
        </is>
      </c>
      <c r="E16" s="30" t="n">
        <v>12</v>
      </c>
      <c r="F16" s="30" t="n">
        <v>12</v>
      </c>
      <c r="G16" s="30" t="n">
        <v>12</v>
      </c>
      <c r="H16" s="30" t="n">
        <v>12</v>
      </c>
      <c r="I16" s="27" t="inlineStr">
        <is>
          <t>Planning target: Planning target, 14 Oct 2026: 12 cabins. A camp use permit allows 2.56 overnight people per acre (S28), so 12 cabins with staff need about 12 acres; the 20-person retreat standard (S15) is not the path</t>
        </is>
      </c>
    </row>
    <row r="17">
      <c r="A17" s="23" t="inlineStr">
        <is>
          <t>Cabins (arhome by Arcana)</t>
        </is>
      </c>
      <c r="B17" s="23" t="inlineStr">
        <is>
          <t>cabins_p1</t>
        </is>
      </c>
      <c r="C17" s="9" t="inlineStr">
        <is>
          <t>Cabins built in Phase 1</t>
        </is>
      </c>
      <c r="D17" s="24" t="inlineStr">
        <is>
          <t>count</t>
        </is>
      </c>
      <c r="E17" s="30" t="n">
        <v>12</v>
      </c>
      <c r="F17" s="30" t="n">
        <v>12</v>
      </c>
      <c r="G17" s="30" t="n">
        <v>12</v>
      </c>
      <c r="H17" s="30" t="n">
        <v>12</v>
      </c>
      <c r="I17" s="27" t="inlineStr">
        <is>
          <t>Draft: all 12 cabins in Phase 1 so guest stays begin in 2030; Phase 2 is the studio and commons</t>
        </is>
      </c>
    </row>
    <row r="18">
      <c r="A18" s="23" t="inlineStr">
        <is>
          <t>Cabins (arhome by Arcana)</t>
        </is>
      </c>
      <c r="B18" s="23" t="inlineStr">
        <is>
          <t>beds_per_cabin</t>
        </is>
      </c>
      <c r="C18" s="9" t="inlineStr">
        <is>
          <t>Guests per cabin (beds)</t>
        </is>
      </c>
      <c r="D18" s="24" t="inlineStr">
        <is>
          <t>count</t>
        </is>
      </c>
      <c r="E18" s="30" t="n">
        <v>2</v>
      </c>
      <c r="F18" s="30" t="n">
        <v>2</v>
      </c>
      <c r="G18" s="30" t="n">
        <v>2</v>
      </c>
      <c r="H18" s="31">
        <f>F18</f>
        <v/>
      </c>
      <c r="I18" s="27" t="inlineStr">
        <is>
          <t>Research: a 275 sf haven sleeps two adults (S24)</t>
        </is>
      </c>
    </row>
    <row r="19">
      <c r="A19" s="23" t="inlineStr">
        <is>
          <t>Cabins (arhome by Arcana)</t>
        </is>
      </c>
      <c r="B19" s="23" t="inlineStr">
        <is>
          <t>cabin_installed</t>
        </is>
      </c>
      <c r="C19" s="9" t="inlineStr">
        <is>
          <t>Installed cost per cabin in Ojai (used in the model)</t>
        </is>
      </c>
      <c r="D19" s="24" t="inlineStr">
        <is>
          <t>USD</t>
        </is>
      </c>
      <c r="E19" s="32" t="n">
        <v>300000</v>
      </c>
      <c r="F19" s="32" t="n">
        <v>300000</v>
      </c>
      <c r="G19" s="32" t="n">
        <v>300000</v>
      </c>
      <c r="H19" s="32" t="n">
        <v>345000</v>
      </c>
      <c r="I19" s="27" t="inlineStr">
        <is>
          <t>Planning target: Planning target, 14 Oct 2026: 12 cabins at USD 300,000 each, installed. Stress adds 15%. Inside the USD 250k to 450k Ojai range (S28); the component lines below are kept as a reference estimate</t>
        </is>
      </c>
    </row>
    <row r="20">
      <c r="A20" s="23" t="inlineStr">
        <is>
          <t>Cabins (arhome by Arcana)</t>
        </is>
      </c>
      <c r="B20" s="23" t="inlineStr">
        <is>
          <t>cabin_price</t>
        </is>
      </c>
      <c r="C20" s="9" t="inlineStr">
        <is>
          <t>Reference estimate: arhome unit price (all fixed items included)</t>
        </is>
      </c>
      <c r="D20" s="24" t="inlineStr">
        <is>
          <t>USD</t>
        </is>
      </c>
      <c r="E20" s="32" t="n">
        <v>125000</v>
      </c>
      <c r="F20" s="32" t="n">
        <v>140000</v>
      </c>
      <c r="G20" s="32" t="n">
        <v>175000</v>
      </c>
      <c r="H20" s="33">
        <f>F20</f>
        <v/>
      </c>
      <c r="I20" s="27" t="inlineStr">
        <is>
          <t>Assumption: S01: from USD 125,000 (CAD 170,000). Base adds about USD 15k for the mirrored skin and options; high = custom (assumption)</t>
        </is>
      </c>
    </row>
    <row r="21">
      <c r="A21" s="23" t="inlineStr">
        <is>
          <t>Cabins (arhome by Arcana)</t>
        </is>
      </c>
      <c r="B21" s="23" t="inlineStr">
        <is>
          <t>cabin_duty</t>
        </is>
      </c>
      <c r="C21" s="9" t="inlineStr">
        <is>
          <t>Reference estimate: import duty and customs brokerage (share of unit price)</t>
        </is>
      </c>
      <c r="D21" s="24" t="inlineStr">
        <is>
          <t>share</t>
        </is>
      </c>
      <c r="E21" s="28" t="n">
        <v>0.03</v>
      </c>
      <c r="F21" s="28" t="n">
        <v>0.03</v>
      </c>
      <c r="G21" s="28" t="n">
        <v>0.03</v>
      </c>
      <c r="H21" s="28" t="n">
        <v>0.15</v>
      </c>
      <c r="I21" s="27" t="inlineStr">
        <is>
          <t>Assumption: HTS 9406 MFN 2.6 to 2.9% if not USMCA-qualifying; Section 232 steel or wood duties possible on content (S20). Stress 15%. Verify with a customs broker</t>
        </is>
      </c>
    </row>
    <row r="22">
      <c r="A22" s="23" t="inlineStr">
        <is>
          <t>Cabins (arhome by Arcana)</t>
        </is>
      </c>
      <c r="B22" s="23" t="inlineStr">
        <is>
          <t>cabin_transport</t>
        </is>
      </c>
      <c r="C22" s="9" t="inlineStr">
        <is>
          <t>Reference estimate: transport Burlington, ON to Ojai (about 2,450 mi, oversize, escorts, permits)</t>
        </is>
      </c>
      <c r="D22" s="24" t="inlineStr">
        <is>
          <t>USD</t>
        </is>
      </c>
      <c r="E22" s="32" t="n">
        <v>30000</v>
      </c>
      <c r="F22" s="32" t="n">
        <v>30000</v>
      </c>
      <c r="G22" s="32" t="n">
        <v>30000</v>
      </c>
      <c r="H22" s="32" t="n">
        <v>45000</v>
      </c>
      <c r="I22" s="27" t="inlineStr">
        <is>
          <t>Assumption from USD 2.50 to 15 per mile plus escorts USD 1 to 2.50 per mile (S19, low reliability); 14 ft is the California permit width</t>
        </is>
      </c>
    </row>
    <row r="23">
      <c r="A23" s="23" t="inlineStr">
        <is>
          <t>Cabins (arhome by Arcana)</t>
        </is>
      </c>
      <c r="B23" s="23" t="inlineStr">
        <is>
          <t>cabin_crane</t>
        </is>
      </c>
      <c r="C23" s="9" t="inlineStr">
        <is>
          <t>Reference estimate: crane and set (about 4 hours per cabin)</t>
        </is>
      </c>
      <c r="D23" s="24" t="inlineStr">
        <is>
          <t>USD</t>
        </is>
      </c>
      <c r="E23" s="32" t="n">
        <v>8000</v>
      </c>
      <c r="F23" s="32" t="n">
        <v>8000</v>
      </c>
      <c r="G23" s="32" t="n">
        <v>8000</v>
      </c>
      <c r="H23" s="32" t="n">
        <v>15000</v>
      </c>
      <c r="I23" s="27" t="inlineStr">
        <is>
          <t>Assumption: S02 (installed within 4 hours of arrival); cost is an assumption</t>
        </is>
      </c>
    </row>
    <row r="24">
      <c r="A24" s="23" t="inlineStr">
        <is>
          <t>Cabins (arhome by Arcana)</t>
        </is>
      </c>
      <c r="B24" s="23" t="inlineStr">
        <is>
          <t>cabin_foundation</t>
        </is>
      </c>
      <c r="C24" s="9" t="inlineStr">
        <is>
          <t>Reference estimate: foundation (helical piles or piers on slope)</t>
        </is>
      </c>
      <c r="D24" s="24" t="inlineStr">
        <is>
          <t>USD</t>
        </is>
      </c>
      <c r="E24" s="32" t="n">
        <v>25000</v>
      </c>
      <c r="F24" s="32" t="n">
        <v>25000</v>
      </c>
      <c r="G24" s="32" t="n">
        <v>25000</v>
      </c>
      <c r="H24" s="32" t="n">
        <v>45000</v>
      </c>
      <c r="I24" s="27" t="inlineStr">
        <is>
          <t>Assumption</t>
        </is>
      </c>
    </row>
    <row r="25">
      <c r="A25" s="23" t="inlineStr">
        <is>
          <t>Cabins (arhome by Arcana)</t>
        </is>
      </c>
      <c r="B25" s="23" t="inlineStr">
        <is>
          <t>cabin_utilities</t>
        </is>
      </c>
      <c r="C25" s="9" t="inlineStr">
        <is>
          <t>Reference estimate: utilities to pad (water, wastewater, power, data)</t>
        </is>
      </c>
      <c r="D25" s="24" t="inlineStr">
        <is>
          <t>USD</t>
        </is>
      </c>
      <c r="E25" s="32" t="n">
        <v>35000</v>
      </c>
      <c r="F25" s="32" t="n">
        <v>35000</v>
      </c>
      <c r="G25" s="32" t="n">
        <v>35000</v>
      </c>
      <c r="H25" s="32" t="n">
        <v>60000</v>
      </c>
      <c r="I25" s="27" t="inlineStr">
        <is>
          <t>Assumption</t>
        </is>
      </c>
    </row>
    <row r="26">
      <c r="A26" s="23" t="inlineStr">
        <is>
          <t>Cabins (arhome by Arcana)</t>
        </is>
      </c>
      <c r="B26" s="23" t="inlineStr">
        <is>
          <t>cabin_deck</t>
        </is>
      </c>
      <c r="C26" s="9" t="inlineStr">
        <is>
          <t>Reference estimate: deck, steps, private fire pit, pad landscaping</t>
        </is>
      </c>
      <c r="D26" s="24" t="inlineStr">
        <is>
          <t>USD</t>
        </is>
      </c>
      <c r="E26" s="32" t="n">
        <v>15000</v>
      </c>
      <c r="F26" s="32" t="n">
        <v>25000</v>
      </c>
      <c r="G26" s="32" t="n">
        <v>45000</v>
      </c>
      <c r="H26" s="33">
        <f>F26</f>
        <v/>
      </c>
      <c r="I26" s="27" t="inlineStr">
        <is>
          <t>Assumption (scope)</t>
        </is>
      </c>
    </row>
    <row r="27">
      <c r="A27" s="23" t="inlineStr">
        <is>
          <t>Cabins (arhome by Arcana)</t>
        </is>
      </c>
      <c r="B27" s="23" t="inlineStr">
        <is>
          <t>cabin_compliance</t>
        </is>
      </c>
      <c r="C27" s="9" t="inlineStr">
        <is>
          <t>Reference estimate: California plan check, Chapter 7A details, fire sprinklers, fees</t>
        </is>
      </c>
      <c r="D27" s="24" t="inlineStr">
        <is>
          <t>USD</t>
        </is>
      </c>
      <c r="E27" s="32" t="n">
        <v>30000</v>
      </c>
      <c r="F27" s="32" t="n">
        <v>30000</v>
      </c>
      <c r="G27" s="32" t="n">
        <v>30000</v>
      </c>
      <c r="H27" s="32" t="n">
        <v>50000</v>
      </c>
      <c r="I27" s="27" t="inlineStr">
        <is>
          <t>Assumption: county plan check and fees, Chapter 7A ember-resistant details and sprinklers in every structure (S28); Intertek certification (S02)</t>
        </is>
      </c>
    </row>
    <row r="28">
      <c r="A28" s="23" t="inlineStr">
        <is>
          <t>Cabins (arhome by Arcana)</t>
        </is>
      </c>
      <c r="B28" s="23" t="inlineStr">
        <is>
          <t>cabin_soft</t>
        </is>
      </c>
      <c r="C28" s="9" t="inlineStr">
        <is>
          <t>Soft costs on cabins (share of installed cost)</t>
        </is>
      </c>
      <c r="D28" s="24" t="inlineStr">
        <is>
          <t>share</t>
        </is>
      </c>
      <c r="E28" s="28" t="n">
        <v>0.05</v>
      </c>
      <c r="F28" s="28" t="n">
        <v>0.05</v>
      </c>
      <c r="G28" s="28" t="n">
        <v>0.07000000000000001</v>
      </c>
      <c r="H28" s="28" t="n">
        <v>0.08</v>
      </c>
      <c r="I28" s="27" t="inlineStr">
        <is>
          <t>Assumption: Buildout research, 14 Oct 2026 (vault: Bastion - Buildout Costs (California)): site adaptation, permits, inspections, transit insurance, brokerage, owner's rep, and California use tax on factory-built housing (Regulation 1521.4); duty excluded</t>
        </is>
      </c>
    </row>
    <row r="29">
      <c r="A29" s="7" t="inlineStr">
        <is>
          <t>Capital costs (our planning targets for the main buildings; specialist benchmarks rebased to Ojai for the rest)</t>
        </is>
      </c>
      <c r="B29" s="8" t="n"/>
      <c r="C29" s="8" t="n"/>
      <c r="D29" s="8" t="n"/>
      <c r="E29" s="8" t="n"/>
      <c r="F29" s="8" t="n"/>
      <c r="G29" s="8" t="n"/>
      <c r="H29" s="8" t="n"/>
      <c r="I29" s="8" t="n"/>
    </row>
    <row r="30">
      <c r="A30" s="23" t="inlineStr">
        <is>
          <t>Capital costs (our planning targets for the main buildings; specialist benchmarks rebased to Ojai for the rest)</t>
        </is>
      </c>
      <c r="B30" s="23" t="inlineStr">
        <is>
          <t>ojai_premium</t>
        </is>
      </c>
      <c r="C30" s="9" t="inlineStr">
        <is>
          <t>Ojai construction premium over rural Northeast benchmarks (no longer applied)</t>
        </is>
      </c>
      <c r="D30" s="24" t="inlineStr">
        <is>
          <t>share</t>
        </is>
      </c>
      <c r="E30" s="28" t="n">
        <v>0.2</v>
      </c>
      <c r="F30" s="28" t="n">
        <v>0.2</v>
      </c>
      <c r="G30" s="28" t="n">
        <v>0.2</v>
      </c>
      <c r="H30" s="28" t="n">
        <v>0.35</v>
      </c>
      <c r="I30" s="27" t="inlineStr">
        <is>
          <t>Assumption: Kept for reference only: since 15 Oct 2026 every capital line is priced on a California basis (buildout research), so no line uses this premium. Earlier basis: Ojai 1.15 to 1.35 times the rural Northeast (S28)</t>
        </is>
      </c>
    </row>
    <row r="31">
      <c r="A31" s="23" t="inlineStr">
        <is>
          <t>Capital costs (our planning targets for the main buildings; specialist benchmarks rebased to Ojai for the rest)</t>
        </is>
      </c>
      <c r="B31" s="23" t="inlineStr">
        <is>
          <t>equip_uplift</t>
        </is>
      </c>
      <c r="C31" s="9" t="inlineStr">
        <is>
          <t>Equipment uplift (sales tax, freight, install; not applied to our planning targets)</t>
        </is>
      </c>
      <c r="D31" s="24" t="inlineStr">
        <is>
          <t>share</t>
        </is>
      </c>
      <c r="E31" s="28" t="n">
        <v>0.08</v>
      </c>
      <c r="F31" s="28" t="n">
        <v>0.08</v>
      </c>
      <c r="G31" s="28" t="n">
        <v>0.08</v>
      </c>
      <c r="H31" s="28" t="n">
        <v>0.1</v>
      </c>
      <c r="I31" s="27" t="inlineStr">
        <is>
          <t>Assumption: California sales and use tax plus freight. No line uses it since we priced the sound system, studio gear and art directly (14 Oct 2026)</t>
        </is>
      </c>
    </row>
    <row r="32">
      <c r="A32" s="23" t="inlineStr">
        <is>
          <t>Capital costs (our planning targets for the main buildings; specialist benchmarks rebased to Ojai for the rest)</t>
        </is>
      </c>
      <c r="B32" s="23" t="inlineStr">
        <is>
          <t>soft_pct</t>
        </is>
      </c>
      <c r="C32" s="9" t="inlineStr">
        <is>
          <t>Soft costs (share of site-built hard cost)</t>
        </is>
      </c>
      <c r="D32" s="24" t="inlineStr">
        <is>
          <t>share</t>
        </is>
      </c>
      <c r="E32" s="28" t="n">
        <v>0.2125</v>
      </c>
      <c r="F32" s="28" t="n">
        <v>0.2125</v>
      </c>
      <c r="G32" s="28" t="n">
        <v>0.28</v>
      </c>
      <c r="H32" s="28" t="n">
        <v>0.25</v>
      </c>
      <c r="I32" s="27" t="inlineStr">
        <is>
          <t>Assumption: Buildout research, 14 Oct 2026 (vault: Bastion - Buildout Costs (California)): base at the Low tier: architecture with a California architect of record 7%, the overlap with Leckie Studio 1%, engineering 3.75%, geotech, survey and fire 0.6%, acoustics, studio design, theatre, lighting and landscape 2.6%, owner's rep and cost consultant 1.7%, inspections and commissioning 1.05%, permits 2.2%, builder's risk and owner's liability 0.55%, legal and travel 0.8%. Full 28%, stress 25%. Luxury hotels average 27.6% (HVS 2026)</t>
        </is>
      </c>
    </row>
    <row r="33">
      <c r="A33" s="23" t="inlineStr">
        <is>
          <t>Capital costs (our planning targets for the main buildings; specialist benchmarks rebased to Ojai for the rest)</t>
        </is>
      </c>
      <c r="B33" s="23" t="inlineStr">
        <is>
          <t>contingency_pct</t>
        </is>
      </c>
      <c r="C33" s="9" t="inlineStr">
        <is>
          <t>Contingency (share of hard, soft, cabins and equipment)</t>
        </is>
      </c>
      <c r="D33" s="24" t="inlineStr">
        <is>
          <t>share</t>
        </is>
      </c>
      <c r="E33" s="28" t="n">
        <v>0.1174</v>
      </c>
      <c r="F33" s="28" t="n">
        <v>0.1178</v>
      </c>
      <c r="G33" s="28" t="n">
        <v>0.1803</v>
      </c>
      <c r="H33" s="28" t="n">
        <v>0.2</v>
      </c>
      <c r="I33" s="27" t="inlineStr">
        <is>
          <t>Assumption: Buildout research, 14 Oct 2026 (vault: Bastion - Buildout Costs (California)): blended from layers. Base: design 10% and construction 5% on site-built hard cost, 3% on cabins and set allowances, an owner's layer of 2.5% on everything but land. Full: 12.5%, 7.5%, 5% and 5%. Stress 20%. Concept stage with no site (AACE Class 5)</t>
        </is>
      </c>
    </row>
    <row r="34">
      <c r="A34" s="23" t="inlineStr">
        <is>
          <t>Capital costs (our planning targets for the main buildings; specialist benchmarks rebased to Ojai for the rest)</t>
        </is>
      </c>
      <c r="B34" s="23" t="inlineStr">
        <is>
          <t>land</t>
        </is>
      </c>
      <c r="C34" s="9" t="inlineStr">
        <is>
          <t>Land purchase (5 to 50 acres, Ojai Valley)</t>
        </is>
      </c>
      <c r="D34" s="24" t="inlineStr">
        <is>
          <t>USD</t>
        </is>
      </c>
      <c r="E34" s="32" t="n">
        <v>1000000</v>
      </c>
      <c r="F34" s="32" t="n">
        <v>1500000</v>
      </c>
      <c r="G34" s="32" t="n">
        <v>2000000</v>
      </c>
      <c r="H34" s="32" t="n">
        <v>2000000</v>
      </c>
      <c r="I34" s="27" t="inlineStr">
        <is>
          <t>Planning target: Planning target, 14 Oct 2026: land should be 5 to 50 acres at USD 1M to 2M; base 1.5M is the midpoint (draft). Earlier research (S28): large raw view land about USD 4,000 to 55,000 per acre, valley-floor lots USD 130,000 to 650,000; listings USD 12,700 to 50,700 per acre (S07)</t>
        </is>
      </c>
    </row>
    <row r="35">
      <c r="A35" s="23" t="inlineStr">
        <is>
          <t>Capital costs (our planning targets for the main buildings; specialist benchmarks rebased to Ojai for the rest)</t>
        </is>
      </c>
      <c r="B35" s="23" t="inlineStr">
        <is>
          <t>acres</t>
        </is>
      </c>
      <c r="C35" s="9" t="inlineStr">
        <is>
          <t>Land area</t>
        </is>
      </c>
      <c r="D35" s="24" t="inlineStr">
        <is>
          <t>acres</t>
        </is>
      </c>
      <c r="E35" s="32" t="n">
        <v>5</v>
      </c>
      <c r="F35" s="32" t="n">
        <v>25</v>
      </c>
      <c r="G35" s="32" t="n">
        <v>50</v>
      </c>
      <c r="H35" s="32" t="n">
        <v>25</v>
      </c>
      <c r="I35" s="27" t="inlineStr">
        <is>
          <t>Planning target: Planning target, 14 Oct 2026: 5 to 50 acres; base 25 is a draft midpoint. Used for the camp density and camp minimum checks. The Ojai research puts the camp permit minimum at 10 acres in RA, the camp building-area need at about 16 to 31 acres and the sound buffer at roughly 40 to 150 acres (S28)</t>
        </is>
      </c>
    </row>
    <row r="36">
      <c r="A36" s="23" t="inlineStr">
        <is>
          <t>Capital costs (our planning targets for the main buildings; specialist benchmarks rebased to Ojai for the rest)</t>
        </is>
      </c>
      <c r="B36" s="23" t="inlineStr">
        <is>
          <t>land_closing</t>
        </is>
      </c>
      <c r="C36" s="9" t="inlineStr">
        <is>
          <t>Land closing costs (share of price)</t>
        </is>
      </c>
      <c r="D36" s="24" t="inlineStr">
        <is>
          <t>share</t>
        </is>
      </c>
      <c r="E36" s="28" t="n">
        <v>0.01</v>
      </c>
      <c r="F36" s="28" t="n">
        <v>0.01</v>
      </c>
      <c r="G36" s="28" t="n">
        <v>0.01</v>
      </c>
      <c r="H36" s="28" t="n">
        <v>0.015</v>
      </c>
      <c r="I36" s="27" t="inlineStr">
        <is>
          <t>Assumption: title, escrow, recording. County documentary transfer tax USD 1.10 per USD 1,000 (S09), customarily paid by the seller</t>
        </is>
      </c>
    </row>
    <row r="37">
      <c r="A37" s="23" t="inlineStr">
        <is>
          <t>Capital costs (our planning targets for the main buildings; specialist benchmarks rebased to Ojai for the rest)</t>
        </is>
      </c>
      <c r="B37" s="23" t="inlineStr">
        <is>
          <t>entitlement</t>
        </is>
      </c>
      <c r="C37" s="9" t="inlineStr">
        <is>
          <t>Pre-construction approvals: due diligence, studies, camp CUP, CEQA, attorney</t>
        </is>
      </c>
      <c r="D37" s="24" t="inlineStr">
        <is>
          <t>USD</t>
        </is>
      </c>
      <c r="E37" s="32" t="n">
        <v>600000</v>
      </c>
      <c r="F37" s="32" t="n">
        <v>600000</v>
      </c>
      <c r="G37" s="32" t="n">
        <v>1050000</v>
      </c>
      <c r="H37" s="32" t="n">
        <v>2400000</v>
      </c>
      <c r="I37" s="27" t="inlineStr">
        <is>
          <t>Assumption: Buildout research, 14 Oct 2026 (vault: Bastion - Buildout Costs (California)): base a clean mitigated negative declaration (USD 0.6M); full contested and recirculated (1.05M); stress an EIR plus an appeal (2.4M), excluding litigation. Technical studies 210k to 600k, CEQA consultant 120k to 800k, county planner at USD 229.68 an hour, land-use attorney 75k to 400k</t>
        </is>
      </c>
    </row>
    <row r="38">
      <c r="A38" s="23" t="inlineStr">
        <is>
          <t>Capital costs (our planning targets for the main buildings; specialist benchmarks rebased to Ojai for the rest)</t>
        </is>
      </c>
      <c r="B38" s="23" t="inlineStr">
        <is>
          <t>phase0_kit</t>
        </is>
      </c>
      <c r="C38" s="9" t="inlineStr">
        <is>
          <t>Stage 0 meadow prep, sound trail and pop-up kit</t>
        </is>
      </c>
      <c r="D38" s="24" t="inlineStr">
        <is>
          <t>USD</t>
        </is>
      </c>
      <c r="E38" s="32" t="n">
        <v>100000</v>
      </c>
      <c r="F38" s="32" t="n">
        <v>250000</v>
      </c>
      <c r="G38" s="32" t="n">
        <v>500000</v>
      </c>
      <c r="H38" s="32" t="n">
        <v>300000</v>
      </c>
      <c r="I38" s="27" t="inlineStr">
        <is>
          <t>Assumption: temporary staging and rented systems only; permanent structures are not allowed for outdoor events (S16)</t>
        </is>
      </c>
    </row>
    <row r="39">
      <c r="A39" s="23" t="inlineStr">
        <is>
          <t>Capital costs (our planning targets for the main buildings; specialist benchmarks rebased to Ojai for the rest)</t>
        </is>
      </c>
      <c r="B39" s="23" t="inlineStr">
        <is>
          <t>site_infra</t>
        </is>
      </c>
      <c r="C39" s="9" t="inlineStr">
        <is>
          <t>Site infrastructure, California (water, wastewater, power, roads, parking, grading, data, paths and lighting)</t>
        </is>
      </c>
      <c r="D39" s="24" t="inlineStr">
        <is>
          <t>USD</t>
        </is>
      </c>
      <c r="E39" s="32" t="n">
        <v>2201000</v>
      </c>
      <c r="F39" s="32" t="n">
        <v>2201000</v>
      </c>
      <c r="G39" s="32" t="n">
        <v>5540000</v>
      </c>
      <c r="H39" s="32" t="n">
        <v>5540000</v>
      </c>
      <c r="I39" s="27" t="inlineStr">
        <is>
          <t>Research: Buildout research, 14 Oct 2026 (vault: Bastion - Buildout Costs (California)): base at the Low tier, an easy parcel: Casitas water at the frontage, a short chip-seal road, gentle slopes, three-phase power close by, county septic with NSF 245 treatment, 35 kW of solar. Full and stress: two bedrock wells with treatment, a 2,000 ft paved road with fire lanes, grading and walls, a battery (the Mid tier). Every hard condition at once totals about USD 14.9M with the fire water</t>
        </is>
      </c>
    </row>
    <row r="40">
      <c r="A40" s="23" t="inlineStr">
        <is>
          <t>Capital costs (our planning targets for the main buildings; specialist benchmarks rebased to Ojai for the rest)</t>
        </is>
      </c>
      <c r="B40" s="23" t="inlineStr">
        <is>
          <t>infra_p1</t>
        </is>
      </c>
      <c r="C40" s="9" t="inlineStr">
        <is>
          <t>Site infrastructure built in Phase 1</t>
        </is>
      </c>
      <c r="D40" s="24" t="inlineStr">
        <is>
          <t>share</t>
        </is>
      </c>
      <c r="E40" s="28" t="n">
        <v>0.7</v>
      </c>
      <c r="F40" s="28" t="n">
        <v>0.7</v>
      </c>
      <c r="G40" s="28" t="n">
        <v>0.7</v>
      </c>
      <c r="H40" s="29">
        <f>F40</f>
        <v/>
      </c>
      <c r="I40" s="27" t="inlineStr">
        <is>
          <t>Draft phasing</t>
        </is>
      </c>
    </row>
    <row r="41">
      <c r="A41" s="23" t="inlineStr">
        <is>
          <t>Capital costs (our planning targets for the main buildings; specialist benchmarks rebased to Ojai for the rest)</t>
        </is>
      </c>
      <c r="B41" s="23" t="inlineStr">
        <is>
          <t>infra_p2</t>
        </is>
      </c>
      <c r="C41" s="9" t="inlineStr">
        <is>
          <t>Site infrastructure built in Phase 2</t>
        </is>
      </c>
      <c r="D41" s="24" t="inlineStr">
        <is>
          <t>share</t>
        </is>
      </c>
      <c r="E41" s="28" t="n">
        <v>0.2</v>
      </c>
      <c r="F41" s="28" t="n">
        <v>0.2</v>
      </c>
      <c r="G41" s="28" t="n">
        <v>0.2</v>
      </c>
      <c r="H41" s="29">
        <f>F41</f>
        <v/>
      </c>
      <c r="I41" s="27" t="inlineStr">
        <is>
          <t>Draft phasing (Phase 3 gets the rest)</t>
        </is>
      </c>
    </row>
    <row r="42">
      <c r="A42" s="23" t="inlineStr">
        <is>
          <t>Capital costs (our planning targets for the main buildings; specialist benchmarks rebased to Ojai for the rest)</t>
        </is>
      </c>
      <c r="B42" s="23" t="inlineStr">
        <is>
          <t>fire_hardening</t>
        </is>
      </c>
      <c r="C42" s="9" t="inlineStr">
        <is>
          <t>Fire water storage, hydrants, shutoff generator and initial fuel clearance (Ojai)</t>
        </is>
      </c>
      <c r="D42" s="24" t="inlineStr">
        <is>
          <t>USD</t>
        </is>
      </c>
      <c r="E42" s="32" t="n">
        <v>689000</v>
      </c>
      <c r="F42" s="32" t="n">
        <v>689000</v>
      </c>
      <c r="G42" s="32" t="n">
        <v>1480000</v>
      </c>
      <c r="H42" s="32" t="n">
        <v>1480000</v>
      </c>
      <c r="I42" s="27" t="inlineStr">
        <is>
          <t>Research: Buildout research, 14 Oct 2026 (vault: Bastion - Buildout Costs (California)): base a 60,000 gallon gravity tank for 500 gpm, three hydrants, a 150 to 200 kW generator, 8 acres of clearing; full and stress a 130,000 gallon tank and pump for 1,000 gpm, five hydrants, a 250 kW generator, 15 acres</t>
        </is>
      </c>
    </row>
    <row r="43">
      <c r="A43" s="23" t="inlineStr">
        <is>
          <t>Capital costs (our planning targets for the main buildings; specialist benchmarks rebased to Ojai for the rest)</t>
        </is>
      </c>
      <c r="B43" s="23" t="inlineStr">
        <is>
          <t>res_sf</t>
        </is>
      </c>
      <c r="C43" s="9" t="inlineStr">
        <is>
          <t>Residential floor area for school fees (the house and the staff unit)</t>
        </is>
      </c>
      <c r="D43" s="24" t="inlineStr">
        <is>
          <t>sf</t>
        </is>
      </c>
      <c r="E43" s="32" t="n">
        <v>3600</v>
      </c>
      <c r="F43" s="32" t="n">
        <v>3600</v>
      </c>
      <c r="G43" s="32" t="n">
        <v>3600</v>
      </c>
      <c r="H43" s="33">
        <f>F43</f>
        <v/>
      </c>
      <c r="I43" s="27" t="inlineStr">
        <is>
          <t>Assumption: Buildout spec: the residence and home 3,000 sf + a staff unit of about 600 sf</t>
        </is>
      </c>
    </row>
    <row r="44">
      <c r="A44" s="23" t="inlineStr">
        <is>
          <t>Capital costs (our planning targets for the main buildings; specialist benchmarks rebased to Ojai for the rest)</t>
        </is>
      </c>
      <c r="B44" s="23" t="inlineStr">
        <is>
          <t>com_sf</t>
        </is>
      </c>
      <c r="C44" s="9" t="inlineStr">
        <is>
          <t>Other floor area for school fees (cabins, studio, barn, back-of-house, maintenance, bathhouse)</t>
        </is>
      </c>
      <c r="D44" s="24" t="inlineStr">
        <is>
          <t>sf</t>
        </is>
      </c>
      <c r="E44" s="32" t="n">
        <v>11100</v>
      </c>
      <c r="F44" s="32" t="n">
        <v>11100</v>
      </c>
      <c r="G44" s="32" t="n">
        <v>11100</v>
      </c>
      <c r="H44" s="33">
        <f>F44</f>
        <v/>
      </c>
      <c r="I44" s="27" t="inlineStr">
        <is>
          <t>Assumption: Buildout spec: cabins 3,300 + studio 2,500 + barn 3,000 + amphitheater buildings 1,000 + maintenance 1,000 + bathhouse 300</t>
        </is>
      </c>
    </row>
    <row r="45">
      <c r="A45" s="23" t="inlineStr">
        <is>
          <t>Capital costs (our planning targets for the main buildings; specialist benchmarks rebased to Ojai for the rest)</t>
        </is>
      </c>
      <c r="B45" s="23" t="inlineStr">
        <is>
          <t>school_res</t>
        </is>
      </c>
      <c r="C45" s="9" t="inlineStr">
        <is>
          <t>School fee per residential sf</t>
        </is>
      </c>
      <c r="D45" s="24" t="inlineStr">
        <is>
          <t>USD</t>
        </is>
      </c>
      <c r="E45" s="34" t="n">
        <v>5.38</v>
      </c>
      <c r="F45" s="34" t="n">
        <v>5.38</v>
      </c>
      <c r="G45" s="34" t="n">
        <v>5.38</v>
      </c>
      <c r="H45" s="35">
        <f>F45</f>
        <v/>
      </c>
      <c r="I45" s="27" t="inlineStr">
        <is>
          <t>Research S28: state maximum from Jan 28, 2026; Ojai Unified rate not confirmed</t>
        </is>
      </c>
    </row>
    <row r="46">
      <c r="A46" s="23" t="inlineStr">
        <is>
          <t>Capital costs (our planning targets for the main buildings; specialist benchmarks rebased to Ojai for the rest)</t>
        </is>
      </c>
      <c r="B46" s="23" t="inlineStr">
        <is>
          <t>school_com</t>
        </is>
      </c>
      <c r="C46" s="9" t="inlineStr">
        <is>
          <t>School fee per commercial sf</t>
        </is>
      </c>
      <c r="D46" s="24" t="inlineStr">
        <is>
          <t>USD</t>
        </is>
      </c>
      <c r="E46" s="34" t="n">
        <v>0.87</v>
      </c>
      <c r="F46" s="34" t="n">
        <v>0.87</v>
      </c>
      <c r="G46" s="34" t="n">
        <v>0.87</v>
      </c>
      <c r="H46" s="35">
        <f>F46</f>
        <v/>
      </c>
      <c r="I46" s="27" t="inlineStr">
        <is>
          <t>Research S28: state maximum from Jan 28, 2026</t>
        </is>
      </c>
    </row>
    <row r="47">
      <c r="A47" s="23" t="inlineStr">
        <is>
          <t>Capital costs (our planning targets for the main buildings; specialist benchmarks rebased to Ojai for the rest)</t>
        </is>
      </c>
      <c r="B47" s="23" t="inlineStr">
        <is>
          <t>water_af</t>
        </is>
      </c>
      <c r="C47" s="9" t="inlineStr">
        <is>
          <t>Casitas water allocation bought (acre-feet; 0 if on wells)</t>
        </is>
      </c>
      <c r="D47" s="24" t="inlineStr">
        <is>
          <t>acre-feet</t>
        </is>
      </c>
      <c r="E47" s="30" t="n">
        <v>3</v>
      </c>
      <c r="F47" s="30" t="n">
        <v>3</v>
      </c>
      <c r="G47" s="30" t="n">
        <v>0</v>
      </c>
      <c r="H47" s="30" t="n">
        <v>0</v>
      </c>
      <c r="I47" s="27" t="inlineStr">
        <is>
          <t>Assumption: Buildout research: lean and base take Casitas water at the frontage (3 acre-feet); full and stress drill two wells, so no Casitas charge (S28)</t>
        </is>
      </c>
    </row>
    <row r="48">
      <c r="A48" s="23" t="inlineStr">
        <is>
          <t>Capital costs (our planning targets for the main buildings; specialist benchmarks rebased to Ojai for the rest)</t>
        </is>
      </c>
      <c r="B48" s="23" t="inlineStr">
        <is>
          <t>water_rate</t>
        </is>
      </c>
      <c r="C48" s="9" t="inlineStr">
        <is>
          <t>Casitas capital facilities charge per acre-foot</t>
        </is>
      </c>
      <c r="D48" s="24" t="inlineStr">
        <is>
          <t>USD</t>
        </is>
      </c>
      <c r="E48" s="32" t="n">
        <v>18644</v>
      </c>
      <c r="F48" s="32" t="n">
        <v>18644</v>
      </c>
      <c r="G48" s="32" t="n">
        <v>18644</v>
      </c>
      <c r="H48" s="33">
        <f>F48</f>
        <v/>
      </c>
      <c r="I48" s="27" t="inlineStr">
        <is>
          <t>Research S28 (Casitas MWD rates and regulations)</t>
        </is>
      </c>
    </row>
    <row r="49">
      <c r="A49" s="23" t="inlineStr">
        <is>
          <t>Capital costs (our planning targets for the main buildings; specialist benchmarks rebased to Ojai for the rest)</t>
        </is>
      </c>
      <c r="B49" s="23" t="inlineStr">
        <is>
          <t>hcd_approval</t>
        </is>
      </c>
      <c r="C49" s="9" t="inlineStr">
        <is>
          <t>California HCD factory-built approval for the arhome design (one-time)</t>
        </is>
      </c>
      <c r="D49" s="24" t="inlineStr">
        <is>
          <t>USD</t>
        </is>
      </c>
      <c r="E49" s="32" t="n">
        <v>25000</v>
      </c>
      <c r="F49" s="32" t="n">
        <v>50000</v>
      </c>
      <c r="G49" s="32" t="n">
        <v>100000</v>
      </c>
      <c r="H49" s="32" t="n">
        <v>100000</v>
      </c>
      <c r="I49" s="27" t="inlineStr">
        <is>
          <t>Assumption: S28: USD 25k to 100k one-time; every unit needs an HCD insignia; arhome lists no California approval yet</t>
        </is>
      </c>
    </row>
    <row r="50">
      <c r="A50" s="23" t="inlineStr">
        <is>
          <t>Capital costs (our planning targets for the main buildings; specialist benchmarks rebased to Ojai for the rest)</t>
        </is>
      </c>
      <c r="B50" s="23" t="inlineStr">
        <is>
          <t>amphitheater</t>
        </is>
      </c>
      <c r="C50" s="9" t="inlineStr">
        <is>
          <t>Amphitheater, 150 seats, excl. the sound system (Ojai hard cost)</t>
        </is>
      </c>
      <c r="D50" s="24" t="inlineStr">
        <is>
          <t>USD</t>
        </is>
      </c>
      <c r="E50" s="32" t="n">
        <v>2878800</v>
      </c>
      <c r="F50" s="32" t="n">
        <v>2878800</v>
      </c>
      <c r="G50" s="32" t="n">
        <v>4056000</v>
      </c>
      <c r="H50" s="32" t="n">
        <v>3310620</v>
      </c>
      <c r="I50" s="27" t="inlineStr">
        <is>
          <t>Research: Buildout research, 14 Oct 2026 (vault: Bastion - Buildout Costs (California)); Planning choice, 15 Oct 2026: our base uses the Low tier, a steel canopy over the stage and front rows, cast concrete terraces, a simple back-of-house, prefab restrooms and basic LED lighting, incl. ADA and the contractor's markup (USD 2.9M, about USD 19,200 a seat). Full keeps the architect-designed character for less: a canopy over the stage only, steel with a timber-slat underside, prefab restrooms, plain terraces (USD 4.06M). Research tiers: Low 2.9M, Mid 5.9M, High 11.8M; covered California city amphitheaters cost USD 5.7M to 10.1M in 2026 dollars. Stress = base + 15%</t>
        </is>
      </c>
    </row>
    <row r="51">
      <c r="A51" s="23" t="inlineStr">
        <is>
          <t>Capital costs (our planning targets for the main buildings; specialist benchmarks rebased to Ojai for the rest)</t>
        </is>
      </c>
      <c r="B51" s="23" t="inlineStr">
        <is>
          <t>sound_system</t>
        </is>
      </c>
      <c r="C51" s="9" t="inlineStr">
        <is>
          <t>Sculptural sound system (Ojai, installed)</t>
        </is>
      </c>
      <c r="D51" s="24" t="inlineStr">
        <is>
          <t>USD</t>
        </is>
      </c>
      <c r="E51" s="32" t="n">
        <v>1000000</v>
      </c>
      <c r="F51" s="32" t="n">
        <v>1000000</v>
      </c>
      <c r="G51" s="32" t="n">
        <v>1000000</v>
      </c>
      <c r="H51" s="32" t="n">
        <v>1150000</v>
      </c>
      <c r="I51" s="27" t="inlineStr">
        <is>
          <t>Planning target: Planning target, 14 Oct 2026: the sound system, USD 1M; stress adds 15%. Earlier research: USD 0.4 to 1.2M for the recommended horn-lineage hybrid (S23)</t>
        </is>
      </c>
    </row>
    <row r="52">
      <c r="A52" s="23" t="inlineStr">
        <is>
          <t>Capital costs (our planning targets for the main buildings; specialist benchmarks rebased to Ojai for the rest)</t>
        </is>
      </c>
      <c r="B52" s="23" t="inlineStr">
        <is>
          <t>bathhouse</t>
        </is>
      </c>
      <c r="C52" s="9" t="inlineStr">
        <is>
          <t>Bathhouse: sauna, cold plunge and hot tub, shared (Ojai hard cost)</t>
        </is>
      </c>
      <c r="D52" s="24" t="inlineStr">
        <is>
          <t>USD</t>
        </is>
      </c>
      <c r="E52" s="32" t="n">
        <v>500000</v>
      </c>
      <c r="F52" s="32" t="n">
        <v>500000</v>
      </c>
      <c r="G52" s="32" t="n">
        <v>500000</v>
      </c>
      <c r="H52" s="32" t="n">
        <v>575000</v>
      </c>
      <c r="I52" s="27" t="inlineStr">
        <is>
          <t>Planning target: Planning target, 14 Oct 2026, restated that night: price the sauna, cold plunge and hot tub at USD 500,000; stress adds 15%%. Holds for a compact setup; a shared hot tub and plunge are regulated as public pools in California (treatment, permits, an accessible lift). The bathhouse research put a full Japanese bathhouse at USD 0.92M to 3.23M (midpoint 1.86M)</t>
        </is>
      </c>
    </row>
    <row r="53">
      <c r="A53" s="23" t="inlineStr">
        <is>
          <t>Capital costs (our planning targets for the main buildings; specialist benchmarks rebased to Ojai for the rest)</t>
        </is>
      </c>
      <c r="B53" s="23" t="inlineStr">
        <is>
          <t>temp_kitchen</t>
        </is>
      </c>
      <c r="C53" s="9" t="inlineStr">
        <is>
          <t>Temporary kitchen (none: licensed caterers serve meals until the gallery barn opens)</t>
        </is>
      </c>
      <c r="D53" s="24" t="inlineStr">
        <is>
          <t>USD</t>
        </is>
      </c>
      <c r="E53" s="32" t="n">
        <v>0</v>
      </c>
      <c r="F53" s="32" t="n">
        <v>0</v>
      </c>
      <c r="G53" s="32" t="n">
        <v>0</v>
      </c>
      <c r="H53" s="32" t="n">
        <v>0</v>
      </c>
      <c r="I53" s="27" t="inlineStr">
        <is>
          <t>Draft: Planning choice, 15 Oct 2026: no temporary kitchen; caterers and kitchen help sit in contract services until the kitchen in the gallery barn opens in 2032</t>
        </is>
      </c>
    </row>
    <row r="54">
      <c r="A54" s="23" t="inlineStr">
        <is>
          <t>Capital costs (our planning targets for the main buildings; specialist benchmarks rebased to Ojai for the rest)</t>
        </is>
      </c>
      <c r="B54" s="23" t="inlineStr">
        <is>
          <t>support_housing</t>
        </is>
      </c>
      <c r="C54" s="9" t="inlineStr">
        <is>
          <t>Maintenance building and one staff unit, very simple</t>
        </is>
      </c>
      <c r="D54" s="24" t="inlineStr">
        <is>
          <t>USD</t>
        </is>
      </c>
      <c r="E54" s="32" t="n">
        <v>500000</v>
      </c>
      <c r="F54" s="32" t="n">
        <v>500000</v>
      </c>
      <c r="G54" s="32" t="n">
        <v>500000</v>
      </c>
      <c r="H54" s="32" t="n">
        <v>575000</v>
      </c>
      <c r="I54" s="27" t="inlineStr">
        <is>
          <t>Planning target: Planning target, 15 Oct 2026: a very simple maintenance building with one staff unit at USD 500,000 (the research priced a 1,500 sf shed and an 800 sf unit at USD 0.68M to 1.59M); stress adds 15%. Replaces the support buildings and staff housing line</t>
        </is>
      </c>
    </row>
    <row r="55">
      <c r="A55" s="23" t="inlineStr">
        <is>
          <t>Capital costs (our planning targets for the main buildings; specialist benchmarks rebased to Ojai for the rest)</t>
        </is>
      </c>
      <c r="B55" s="23" t="inlineStr">
        <is>
          <t>support_p1</t>
        </is>
      </c>
      <c r="C55" s="9" t="inlineStr">
        <is>
          <t>Maintenance building and staff unit built in Phase 1</t>
        </is>
      </c>
      <c r="D55" s="24" t="inlineStr">
        <is>
          <t>share</t>
        </is>
      </c>
      <c r="E55" s="28" t="n">
        <v>1</v>
      </c>
      <c r="F55" s="28" t="n">
        <v>1</v>
      </c>
      <c r="G55" s="28" t="n">
        <v>1</v>
      </c>
      <c r="H55" s="29">
        <f>F55</f>
        <v/>
      </c>
      <c r="I55" s="27" t="inlineStr">
        <is>
          <t>Draft: needed from opening</t>
        </is>
      </c>
    </row>
    <row r="56">
      <c r="A56" s="23" t="inlineStr">
        <is>
          <t>Capital costs (our planning targets for the main buildings; specialist benchmarks rebased to Ojai for the rest)</t>
        </is>
      </c>
      <c r="B56" s="23" t="inlineStr">
        <is>
          <t>landscape_art</t>
        </is>
      </c>
      <c r="C56" s="9" t="inlineStr">
        <is>
          <t>Landscaping and artwork (Ojai)</t>
        </is>
      </c>
      <c r="D56" s="24" t="inlineStr">
        <is>
          <t>USD</t>
        </is>
      </c>
      <c r="E56" s="32" t="n">
        <v>1000000</v>
      </c>
      <c r="F56" s="32" t="n">
        <v>1000000</v>
      </c>
      <c r="G56" s="32" t="n">
        <v>1000000</v>
      </c>
      <c r="H56" s="32" t="n">
        <v>1150000</v>
      </c>
      <c r="I56" s="27" t="inlineStr">
        <is>
          <t>Planning target: Planning target, 14 Oct 2026: add a line item for landscaping and artwork at USD 1M; stress adds 15%. Earlier research: USD 0.75 to 4M (S21) and 2.0 to 10.2M (S22) Northeast, plus commissions (S26)</t>
        </is>
      </c>
    </row>
    <row r="57">
      <c r="A57" s="23" t="inlineStr">
        <is>
          <t>Capital costs (our planning targets for the main buildings; specialist benchmarks rebased to Ojai for the rest)</t>
        </is>
      </c>
      <c r="B57" s="23" t="inlineStr">
        <is>
          <t>la_p1</t>
        </is>
      </c>
      <c r="C57" s="9" t="inlineStr">
        <is>
          <t>Landscaping and artwork built in Phase 1</t>
        </is>
      </c>
      <c r="D57" s="24" t="inlineStr">
        <is>
          <t>share</t>
        </is>
      </c>
      <c r="E57" s="28" t="n">
        <v>0.5</v>
      </c>
      <c r="F57" s="28" t="n">
        <v>0.5</v>
      </c>
      <c r="G57" s="28" t="n">
        <v>0.5</v>
      </c>
      <c r="H57" s="29">
        <f>F57</f>
        <v/>
      </c>
      <c r="I57" s="27" t="inlineStr">
        <is>
          <t>Draft phasing</t>
        </is>
      </c>
    </row>
    <row r="58">
      <c r="A58" s="23" t="inlineStr">
        <is>
          <t>Capital costs (our planning targets for the main buildings; specialist benchmarks rebased to Ojai for the rest)</t>
        </is>
      </c>
      <c r="B58" s="23" t="inlineStr">
        <is>
          <t>la_p2</t>
        </is>
      </c>
      <c r="C58" s="9" t="inlineStr">
        <is>
          <t>Landscaping and artwork built in Phase 2</t>
        </is>
      </c>
      <c r="D58" s="24" t="inlineStr">
        <is>
          <t>share</t>
        </is>
      </c>
      <c r="E58" s="28" t="n">
        <v>0.2</v>
      </c>
      <c r="F58" s="28" t="n">
        <v>0.2</v>
      </c>
      <c r="G58" s="28" t="n">
        <v>0.2</v>
      </c>
      <c r="H58" s="29">
        <f>F58</f>
        <v/>
      </c>
      <c r="I58" s="27" t="inlineStr">
        <is>
          <t>Draft phasing (Phase 3 gets the rest, incl. the commissioned works)</t>
        </is>
      </c>
    </row>
    <row r="59">
      <c r="A59" s="23" t="inlineStr">
        <is>
          <t>Capital costs (our planning targets for the main buildings; specialist benchmarks rebased to Ojai for the rest)</t>
        </is>
      </c>
      <c r="B59" s="23" t="inlineStr">
        <is>
          <t>ffe</t>
        </is>
      </c>
      <c r="C59" s="9" t="inlineStr">
        <is>
          <t>FF&amp;E, vehicles, IT and operating equipment (excl. kitchen equipment and supplies)</t>
        </is>
      </c>
      <c r="D59" s="24" t="inlineStr">
        <is>
          <t>USD</t>
        </is>
      </c>
      <c r="E59" s="32" t="n">
        <v>727000</v>
      </c>
      <c r="F59" s="32" t="n">
        <v>727000</v>
      </c>
      <c r="G59" s="32" t="n">
        <v>1510000</v>
      </c>
      <c r="H59" s="33">
        <f>F59</f>
        <v/>
      </c>
      <c r="I59" s="27" t="inlineStr">
        <is>
          <t>Assumption: Buildout research, 14 Oct 2026 (vault: Bastion - Buildout Costs (California)): cabins furnished (arhome includes appliances, not furniture or linens), the Paulin studio lounge, gallery seating, house furnishings, amphitheater cushions, carts and a van, site-wide wifi and cameras; procurement and 7.25% sales tax included. Canadian furniture and lighting carry a 50% duty since September 2026</t>
        </is>
      </c>
    </row>
    <row r="60">
      <c r="A60" s="23" t="inlineStr">
        <is>
          <t>Capital costs (our planning targets for the main buildings; specialist benchmarks rebased to Ojai for the rest)</t>
        </is>
      </c>
      <c r="B60" s="23" t="inlineStr">
        <is>
          <t>ffe_p1</t>
        </is>
      </c>
      <c r="C60" s="9" t="inlineStr">
        <is>
          <t>FF&amp;E bought in Phase 1</t>
        </is>
      </c>
      <c r="D60" s="24" t="inlineStr">
        <is>
          <t>share</t>
        </is>
      </c>
      <c r="E60" s="28" t="n">
        <v>0.59</v>
      </c>
      <c r="F60" s="28" t="n">
        <v>0.59</v>
      </c>
      <c r="G60" s="28" t="n">
        <v>0.59</v>
      </c>
      <c r="H60" s="29">
        <f>F60</f>
        <v/>
      </c>
      <c r="I60" s="27" t="inlineStr">
        <is>
          <t>Draft: Buildout research: cabins, amphitheater, wellness, vehicles, most IT</t>
        </is>
      </c>
    </row>
    <row r="61">
      <c r="A61" s="23" t="inlineStr">
        <is>
          <t>Capital costs (our planning targets for the main buildings; specialist benchmarks rebased to Ojai for the rest)</t>
        </is>
      </c>
      <c r="B61" s="23" t="inlineStr">
        <is>
          <t>ffe_p2</t>
        </is>
      </c>
      <c r="C61" s="9" t="inlineStr">
        <is>
          <t>FF&amp;E bought in Phase 2</t>
        </is>
      </c>
      <c r="D61" s="24" t="inlineStr">
        <is>
          <t>share</t>
        </is>
      </c>
      <c r="E61" s="28" t="n">
        <v>0.28</v>
      </c>
      <c r="F61" s="28" t="n">
        <v>0.28</v>
      </c>
      <c r="G61" s="28" t="n">
        <v>0.28</v>
      </c>
      <c r="H61" s="29">
        <f>F61</f>
        <v/>
      </c>
      <c r="I61" s="27" t="inlineStr">
        <is>
          <t>Draft: Buildout research: the studio lounge and the house (Phase 3 gets the gallery)</t>
        </is>
      </c>
    </row>
    <row r="62">
      <c r="A62" s="23" t="inlineStr">
        <is>
          <t>Capital costs (our planning targets for the main buildings; specialist benchmarks rebased to Ojai for the rest)</t>
        </is>
      </c>
      <c r="B62" s="23" t="inlineStr">
        <is>
          <t>studio_building</t>
        </is>
      </c>
      <c r="C62" s="9" t="inlineStr">
        <is>
          <t>Studio building and acoustic fit-out, 2,500 sf (Ojai hard cost)</t>
        </is>
      </c>
      <c r="D62" s="24" t="inlineStr">
        <is>
          <t>USD</t>
        </is>
      </c>
      <c r="E62" s="32" t="n">
        <v>3000000</v>
      </c>
      <c r="F62" s="32" t="n">
        <v>3000000</v>
      </c>
      <c r="G62" s="32" t="n">
        <v>4375000</v>
      </c>
      <c r="H62" s="32" t="n">
        <v>3450000</v>
      </c>
      <c r="I62" s="27" t="inlineStr">
        <is>
          <t>Research: Buildout research, 14 Oct 2026 (vault: Bastion - Buildout Costs (California)); Planning choice, 15 Oct 2026: 2,500 sf at the Low tier, USD 1,200 per sf: room-within-a-room isolation, quiet HVAC, the view window in two isolated leaves, technical power, acoustic treatment, sprinklers, Chapter 7A, rural logistics. Full at the Mid tier, USD 1,750 per sf; research High USD 2,700. Stress = base + 15%</t>
        </is>
      </c>
    </row>
    <row r="63">
      <c r="A63" s="23" t="inlineStr">
        <is>
          <t>Capital costs (our planning targets for the main buildings; specialist benchmarks rebased to Ojai for the rest)</t>
        </is>
      </c>
      <c r="B63" s="23" t="inlineStr">
        <is>
          <t>studio_gear</t>
        </is>
      </c>
      <c r="C63" s="9" t="inlineStr">
        <is>
          <t>Studio gear and instruments (console, monitoring, microphones, outboard, piano, backline)</t>
        </is>
      </c>
      <c r="D63" s="24" t="inlineStr">
        <is>
          <t>USD</t>
        </is>
      </c>
      <c r="E63" s="32" t="n">
        <v>1000000</v>
      </c>
      <c r="F63" s="32" t="n">
        <v>1000000</v>
      </c>
      <c r="G63" s="32" t="n">
        <v>1000000</v>
      </c>
      <c r="H63" s="32" t="n">
        <v>1150000</v>
      </c>
      <c r="I63" s="27" t="inlineStr">
        <is>
          <t>Planning target: Planning target, 14 Oct 2026: the gear, USD 1M, taken to include the instruments; stress adds 15%. Earlier research: gear excellent USD 0.25 to 0.45M or world-class 0.6 to 1.6M, instruments 0.3 to 0.9M (S23)</t>
        </is>
      </c>
    </row>
    <row r="64">
      <c r="A64" s="23" t="inlineStr">
        <is>
          <t>Capital costs (our planning targets for the main buildings; specialist benchmarks rebased to Ojai for the rest)</t>
        </is>
      </c>
      <c r="B64" s="23" t="inlineStr">
        <is>
          <t>residence</t>
        </is>
      </c>
      <c r="C64" s="9" t="inlineStr">
        <is>
          <t>Residence and home, 3,000 sf (Ojai hard cost)</t>
        </is>
      </c>
      <c r="D64" s="24" t="inlineStr">
        <is>
          <t>USD</t>
        </is>
      </c>
      <c r="E64" s="32" t="n">
        <v>1699500</v>
      </c>
      <c r="F64" s="32" t="n">
        <v>1699500</v>
      </c>
      <c r="G64" s="32" t="n">
        <v>2625000</v>
      </c>
      <c r="H64" s="32" t="n">
        <v>1954425</v>
      </c>
      <c r="I64" s="27" t="inlineStr">
        <is>
          <t>Research: Buildout research, 14 Oct 2026 (vault: Bastion - Buildout Costs (California)); Steve, 14 Oct 2026: the residence and home, 3,000 sf. Planning choice, 15 Oct 2026: California custom residential at the Low tier, USD 567 per sf with hillside and remote-site allowances (Ventura County fire-rebuild bids ran USD 700 to 900 in 2025); full at Mid, USD 875. Incl. sprinklers, Chapter 7A and Title 24 solar. Stress = base + 15%</t>
        </is>
      </c>
    </row>
    <row r="65">
      <c r="A65" s="23" t="inlineStr">
        <is>
          <t>Capital costs (our planning targets for the main buildings; specialist benchmarks rebased to Ojai for the rest)</t>
        </is>
      </c>
      <c r="B65" s="23" t="inlineStr">
        <is>
          <t>instruments</t>
        </is>
      </c>
      <c r="C65" s="9" t="inlineStr">
        <is>
          <t>Instruments (included in studio gear and instruments)</t>
        </is>
      </c>
      <c r="D65" s="24" t="inlineStr">
        <is>
          <t>USD</t>
        </is>
      </c>
      <c r="E65" s="32" t="n">
        <v>0</v>
      </c>
      <c r="F65" s="32" t="n">
        <v>0</v>
      </c>
      <c r="G65" s="32" t="n">
        <v>0</v>
      </c>
      <c r="H65" s="32" t="n">
        <v>0</v>
      </c>
      <c r="I65" s="27" t="inlineStr">
        <is>
          <t>Planning target: Planning target, 14 Oct 2026: included in the USD 1M gear line. Earlier research: USD 0.3 to 0.9M; a Steinway D is about USD 231k to 247k (S23)</t>
        </is>
      </c>
    </row>
    <row r="66">
      <c r="A66" s="23" t="inlineStr">
        <is>
          <t>Capital costs (our planning targets for the main buildings; specialist benchmarks rebased to Ojai for the rest)</t>
        </is>
      </c>
      <c r="B66" s="23" t="inlineStr">
        <is>
          <t>gallery_kitchen</t>
        </is>
      </c>
      <c r="C66" s="9" t="inlineStr">
        <is>
          <t>Commercial kitchen in the gallery barn (Ojai hard cost)</t>
        </is>
      </c>
      <c r="D66" s="24" t="inlineStr">
        <is>
          <t>USD</t>
        </is>
      </c>
      <c r="E66" s="32" t="n">
        <v>175000</v>
      </c>
      <c r="F66" s="32" t="n">
        <v>175000</v>
      </c>
      <c r="G66" s="32" t="n">
        <v>320000</v>
      </c>
      <c r="H66" s="32" t="n">
        <v>201250</v>
      </c>
      <c r="I66" s="27" t="inlineStr">
        <is>
          <t>Research: Buildout research, 14 Oct 2026 (vault: Bastion - Buildout Costs (California)); Steve, 15 Oct 2026: the commercial kitchen goes in the gallery. Type I hood and fire suppression, grease interceptor, NSF equipment, commercial finishes; the barn is already built to commercial code. Low USD 175k, Mid 320k, High 590k. Until the barn opens in 2032, licensed caterers serve meals (contract services). Replaces the dining pavilion. Stress = base + 15%</t>
        </is>
      </c>
    </row>
    <row r="67">
      <c r="A67" s="23" t="inlineStr">
        <is>
          <t>Capital costs (our planning targets for the main buildings; specialist benchmarks rebased to Ojai for the rest)</t>
        </is>
      </c>
      <c r="B67" s="23" t="inlineStr">
        <is>
          <t>gallery_building</t>
        </is>
      </c>
      <c r="C67" s="9" t="inlineStr">
        <is>
          <t>Listening room and gallery barn, 3,000 sf, metal or post-frame shell (Ojai hard cost)</t>
        </is>
      </c>
      <c r="D67" s="24" t="inlineStr">
        <is>
          <t>USD</t>
        </is>
      </c>
      <c r="E67" s="32" t="n">
        <v>1305000</v>
      </c>
      <c r="F67" s="32" t="n">
        <v>1305000</v>
      </c>
      <c r="G67" s="32" t="n">
        <v>1305000</v>
      </c>
      <c r="H67" s="32" t="n">
        <v>1500750</v>
      </c>
      <c r="I67" s="27" t="inlineStr">
        <is>
          <t>Research: Buildout research, 14 Oct 2026 (vault: Bastion - Buildout Costs (California)); Steve, 14 Oct 2026: a large, lower-cost, barn-like structure of 3,000 sf; Planning choice, 15 Oct 2026: a metal or post-frame shell in every case (the Low tier, USD 435 per sf), fitted for public assembly with sprinklers, a fire alarm, two accessible restrooms, quiet HVAC and listening-room acoustics. Research Mid USD 720 (timber-frame kit), High USD 1,170. Stress = base + 15%</t>
        </is>
      </c>
    </row>
    <row r="68">
      <c r="A68" s="23" t="inlineStr">
        <is>
          <t>Capital costs (our planning targets for the main buildings; specialist benchmarks rebased to Ojai for the rest)</t>
        </is>
      </c>
      <c r="B68" s="23" t="inlineStr">
        <is>
          <t>gallery_collection</t>
        </is>
      </c>
      <c r="C68" s="9" t="inlineStr">
        <is>
          <t>Gallery contents (none budgeted)</t>
        </is>
      </c>
      <c r="D68" s="24" t="inlineStr">
        <is>
          <t>USD</t>
        </is>
      </c>
      <c r="E68" s="32" t="n">
        <v>0</v>
      </c>
      <c r="F68" s="32" t="n">
        <v>0</v>
      </c>
      <c r="G68" s="32" t="n">
        <v>0</v>
      </c>
      <c r="H68" s="32" t="n">
        <v>0</v>
      </c>
      <c r="I68" s="27" t="inlineStr">
        <is>
          <t>Planning target: Planning choice, 15 Oct 2026: no cost carried for the gallery's contents. The research priced the six listening rooms at USD 0.84M to 2.5M for objects, loans, fabrication and fit-out</t>
        </is>
      </c>
    </row>
    <row r="69">
      <c r="A69" s="23" t="inlineStr">
        <is>
          <t>Capital costs (our planning targets for the main buildings; specialist benchmarks rebased to Ojai for the rest)</t>
        </is>
      </c>
      <c r="B69" s="23" t="inlineStr">
        <is>
          <t>preopen_p1</t>
        </is>
      </c>
      <c r="C69" s="9" t="inlineStr">
        <is>
          <t>Pre-opening costs, Phase 1 (hiring, training, launch, supplies)</t>
        </is>
      </c>
      <c r="D69" s="24" t="inlineStr">
        <is>
          <t>USD</t>
        </is>
      </c>
      <c r="E69" s="32" t="n">
        <v>350000</v>
      </c>
      <c r="F69" s="32" t="n">
        <v>600000</v>
      </c>
      <c r="G69" s="32" t="n">
        <v>900000</v>
      </c>
      <c r="H69" s="32" t="n">
        <v>700000</v>
      </c>
      <c r="I69" s="27" t="inlineStr">
        <is>
          <t>Assumption</t>
        </is>
      </c>
    </row>
    <row r="70">
      <c r="A70" s="23" t="inlineStr">
        <is>
          <t>Capital costs (our planning targets for the main buildings; specialist benchmarks rebased to Ojai for the rest)</t>
        </is>
      </c>
      <c r="B70" s="23" t="inlineStr">
        <is>
          <t>preopen_p2</t>
        </is>
      </c>
      <c r="C70" s="9" t="inlineStr">
        <is>
          <t>Pre-opening costs, Phase 2</t>
        </is>
      </c>
      <c r="D70" s="24" t="inlineStr">
        <is>
          <t>USD</t>
        </is>
      </c>
      <c r="E70" s="32" t="n">
        <v>150000</v>
      </c>
      <c r="F70" s="32" t="n">
        <v>250000</v>
      </c>
      <c r="G70" s="32" t="n">
        <v>400000</v>
      </c>
      <c r="H70" s="32" t="n">
        <v>300000</v>
      </c>
      <c r="I70" s="27" t="inlineStr">
        <is>
          <t>Assumption</t>
        </is>
      </c>
    </row>
    <row r="71">
      <c r="A71" s="23" t="inlineStr">
        <is>
          <t>Capital costs (our planning targets for the main buildings; specialist benchmarks rebased to Ojai for the rest)</t>
        </is>
      </c>
      <c r="B71" s="23" t="inlineStr">
        <is>
          <t>preopen_p3</t>
        </is>
      </c>
      <c r="C71" s="9" t="inlineStr">
        <is>
          <t>Pre-opening costs, Phase 3</t>
        </is>
      </c>
      <c r="D71" s="24" t="inlineStr">
        <is>
          <t>USD</t>
        </is>
      </c>
      <c r="E71" s="32" t="n">
        <v>100000</v>
      </c>
      <c r="F71" s="32" t="n">
        <v>150000</v>
      </c>
      <c r="G71" s="32" t="n">
        <v>250000</v>
      </c>
      <c r="H71" s="32" t="n">
        <v>200000</v>
      </c>
      <c r="I71" s="27" t="inlineStr">
        <is>
          <t>Assumption</t>
        </is>
      </c>
    </row>
    <row r="72">
      <c r="A72" s="23" t="inlineStr">
        <is>
          <t>Capital costs (our planning targets for the main buildings; specialist benchmarks rebased to Ojai for the rest)</t>
        </is>
      </c>
      <c r="B72" s="23" t="inlineStr">
        <is>
          <t>dev_overhead</t>
        </is>
      </c>
      <c r="C72" s="9" t="inlineStr">
        <is>
          <t>Development-period overhead per year until Phase 1 opens</t>
        </is>
      </c>
      <c r="D72" s="24" t="inlineStr">
        <is>
          <t>USD</t>
        </is>
      </c>
      <c r="E72" s="32" t="n">
        <v>250000</v>
      </c>
      <c r="F72" s="32" t="n">
        <v>350000</v>
      </c>
      <c r="G72" s="32" t="n">
        <v>450000</v>
      </c>
      <c r="H72" s="32" t="n">
        <v>400000</v>
      </c>
      <c r="I72" s="27" t="inlineStr">
        <is>
          <t>Assumption: director, part-time development, legal and accounting, land caretaking and fire clearance</t>
        </is>
      </c>
    </row>
    <row r="73">
      <c r="A73" s="23" t="inlineStr">
        <is>
          <t>Capital costs (our planning targets for the main buildings; specialist benchmarks rebased to Ojai for the rest)</t>
        </is>
      </c>
      <c r="B73" s="23" t="inlineStr">
        <is>
          <t>reserve_months</t>
        </is>
      </c>
      <c r="C73" s="9" t="inlineStr">
        <is>
          <t>Operating reserve (months of stabilized operating expenses)</t>
        </is>
      </c>
      <c r="D73" s="24" t="inlineStr">
        <is>
          <t>months</t>
        </is>
      </c>
      <c r="E73" s="32" t="n">
        <v>12</v>
      </c>
      <c r="F73" s="32" t="n">
        <v>12</v>
      </c>
      <c r="G73" s="32" t="n">
        <v>12</v>
      </c>
      <c r="H73" s="33">
        <f>F73</f>
        <v/>
      </c>
      <c r="I73" s="27" t="inlineStr">
        <is>
          <t>Assumption: S21 recommends one to two years on top of build cost; model funds 12 months</t>
        </is>
      </c>
    </row>
    <row r="74">
      <c r="A74" s="7" t="inlineStr">
        <is>
          <t>Capex timing (share of each cost by year)</t>
        </is>
      </c>
      <c r="B74" s="8" t="n"/>
      <c r="C74" s="8" t="n"/>
      <c r="D74" s="8" t="n"/>
      <c r="E74" s="8" t="n"/>
      <c r="F74" s="8" t="n"/>
      <c r="G74" s="8" t="n"/>
      <c r="H74" s="8" t="n"/>
      <c r="I74" s="8" t="n"/>
    </row>
    <row r="75">
      <c r="A75" s="23" t="inlineStr">
        <is>
          <t>Capex timing (share of each cost by year)</t>
        </is>
      </c>
      <c r="B75" s="23" t="inlineStr">
        <is>
          <t>t_ent_0</t>
        </is>
      </c>
      <c r="C75" s="9" t="inlineStr">
        <is>
          <t>Entitlement spend: land year (2027)</t>
        </is>
      </c>
      <c r="D75" s="24" t="inlineStr">
        <is>
          <t>share</t>
        </is>
      </c>
      <c r="E75" s="28" t="n">
        <v>0.5</v>
      </c>
      <c r="F75" s="28" t="n">
        <v>0.5</v>
      </c>
      <c r="G75" s="28" t="n">
        <v>0.5</v>
      </c>
      <c r="H75" s="29">
        <f>F75</f>
        <v/>
      </c>
      <c r="I75" s="27" t="inlineStr">
        <is>
          <t>Draft: Stage 0 runs 2027 to 2028 (planning target, 14 Oct 2026)</t>
        </is>
      </c>
    </row>
    <row r="76">
      <c r="A76" s="23" t="inlineStr">
        <is>
          <t>Capex timing (share of each cost by year)</t>
        </is>
      </c>
      <c r="B76" s="23" t="inlineStr">
        <is>
          <t>t_ent_1</t>
        </is>
      </c>
      <c r="C76" s="9" t="inlineStr">
        <is>
          <t>Entitlement spend: land year + 1 (2028)</t>
        </is>
      </c>
      <c r="D76" s="24" t="inlineStr">
        <is>
          <t>share</t>
        </is>
      </c>
      <c r="E76" s="28" t="n">
        <v>0.5</v>
      </c>
      <c r="F76" s="28" t="n">
        <v>0.5</v>
      </c>
      <c r="G76" s="28" t="n">
        <v>0.5</v>
      </c>
      <c r="H76" s="29">
        <f>F76</f>
        <v/>
      </c>
      <c r="I76" s="27" t="inlineStr">
        <is>
          <t>Draft</t>
        </is>
      </c>
    </row>
    <row r="77">
      <c r="A77" s="23" t="inlineStr">
        <is>
          <t>Capex timing (share of each cost by year)</t>
        </is>
      </c>
      <c r="B77" s="23" t="inlineStr">
        <is>
          <t>t_ent_2</t>
        </is>
      </c>
      <c r="C77" s="9" t="inlineStr">
        <is>
          <t>Entitlement spend: land year + 2</t>
        </is>
      </c>
      <c r="D77" s="24" t="inlineStr">
        <is>
          <t>share</t>
        </is>
      </c>
      <c r="E77" s="28" t="n">
        <v>0</v>
      </c>
      <c r="F77" s="28" t="n">
        <v>0</v>
      </c>
      <c r="G77" s="28" t="n">
        <v>0</v>
      </c>
      <c r="H77" s="29">
        <f>F77</f>
        <v/>
      </c>
      <c r="I77" s="27" t="inlineStr">
        <is>
          <t>Draft: none, permits are due by the end of 2028</t>
        </is>
      </c>
    </row>
    <row r="78">
      <c r="A78" s="23" t="inlineStr">
        <is>
          <t>Capex timing (share of each cost by year)</t>
        </is>
      </c>
      <c r="B78" s="23" t="inlineStr">
        <is>
          <t>t_ent_3</t>
        </is>
      </c>
      <c r="C78" s="9" t="inlineStr">
        <is>
          <t>Entitlement spend: land year + 3</t>
        </is>
      </c>
      <c r="D78" s="24" t="inlineStr">
        <is>
          <t>share</t>
        </is>
      </c>
      <c r="E78" s="28" t="n">
        <v>0</v>
      </c>
      <c r="F78" s="28" t="n">
        <v>0</v>
      </c>
      <c r="G78" s="28" t="n">
        <v>0</v>
      </c>
      <c r="H78" s="29">
        <f>F78</f>
        <v/>
      </c>
      <c r="I78" s="27" t="inlineStr">
        <is>
          <t>Draft</t>
        </is>
      </c>
    </row>
    <row r="79">
      <c r="A79" s="23" t="inlineStr">
        <is>
          <t>Capex timing (share of each cost by year)</t>
        </is>
      </c>
      <c r="B79" s="23" t="inlineStr">
        <is>
          <t>t_soft_m4</t>
        </is>
      </c>
      <c r="C79" s="9" t="inlineStr">
        <is>
          <t>Soft costs, Phases 1 and 2: 4 years before opening</t>
        </is>
      </c>
      <c r="D79" s="24" t="inlineStr">
        <is>
          <t>share</t>
        </is>
      </c>
      <c r="E79" s="28" t="n">
        <v>0</v>
      </c>
      <c r="F79" s="28" t="n">
        <v>0</v>
      </c>
      <c r="G79" s="28" t="n">
        <v>0</v>
      </c>
      <c r="H79" s="29">
        <f>F79</f>
        <v/>
      </c>
      <c r="I79" s="27" t="inlineStr">
        <is>
          <t>Draft</t>
        </is>
      </c>
    </row>
    <row r="80">
      <c r="A80" s="23" t="inlineStr">
        <is>
          <t>Capex timing (share of each cost by year)</t>
        </is>
      </c>
      <c r="B80" s="23" t="inlineStr">
        <is>
          <t>t_soft_m3</t>
        </is>
      </c>
      <c r="C80" s="9" t="inlineStr">
        <is>
          <t>Soft costs, Phases 1 and 2: 3 years before opening (2027 at base)</t>
        </is>
      </c>
      <c r="D80" s="24" t="inlineStr">
        <is>
          <t>share</t>
        </is>
      </c>
      <c r="E80" s="28" t="n">
        <v>0.3</v>
      </c>
      <c r="F80" s="28" t="n">
        <v>0.3</v>
      </c>
      <c r="G80" s="28" t="n">
        <v>0.3</v>
      </c>
      <c r="H80" s="29">
        <f>F80</f>
        <v/>
      </c>
      <c r="I80" s="27" t="inlineStr">
        <is>
          <t>Draft: design in Stage 0, 2027 to 2028</t>
        </is>
      </c>
    </row>
    <row r="81">
      <c r="A81" s="23" t="inlineStr">
        <is>
          <t>Capex timing (share of each cost by year)</t>
        </is>
      </c>
      <c r="B81" s="23" t="inlineStr">
        <is>
          <t>t_soft_m2</t>
        </is>
      </c>
      <c r="C81" s="9" t="inlineStr">
        <is>
          <t>Soft costs, Phases 1 and 2: 2 years before (2028 at base)</t>
        </is>
      </c>
      <c r="D81" s="24" t="inlineStr">
        <is>
          <t>share</t>
        </is>
      </c>
      <c r="E81" s="28" t="n">
        <v>0.4</v>
      </c>
      <c r="F81" s="28" t="n">
        <v>0.4</v>
      </c>
      <c r="G81" s="28" t="n">
        <v>0.4</v>
      </c>
      <c r="H81" s="29">
        <f>F81</f>
        <v/>
      </c>
      <c r="I81" s="27" t="inlineStr">
        <is>
          <t>Draft</t>
        </is>
      </c>
    </row>
    <row r="82">
      <c r="A82" s="23" t="inlineStr">
        <is>
          <t>Capex timing (share of each cost by year)</t>
        </is>
      </c>
      <c r="B82" s="23" t="inlineStr">
        <is>
          <t>t_soft_m1</t>
        </is>
      </c>
      <c r="C82" s="9" t="inlineStr">
        <is>
          <t>Soft costs, Phases 1 and 2: 1 year before (2029 at base, the build year)</t>
        </is>
      </c>
      <c r="D82" s="24" t="inlineStr">
        <is>
          <t>share</t>
        </is>
      </c>
      <c r="E82" s="28" t="n">
        <v>0.2</v>
      </c>
      <c r="F82" s="28" t="n">
        <v>0.2</v>
      </c>
      <c r="G82" s="28" t="n">
        <v>0.2</v>
      </c>
      <c r="H82" s="29">
        <f>F82</f>
        <v/>
      </c>
      <c r="I82" s="27" t="inlineStr">
        <is>
          <t>Draft: construction administration and permit fees</t>
        </is>
      </c>
    </row>
    <row r="83">
      <c r="A83" s="23" t="inlineStr">
        <is>
          <t>Capex timing (share of each cost by year)</t>
        </is>
      </c>
      <c r="B83" s="23" t="inlineStr">
        <is>
          <t>t_soft_0</t>
        </is>
      </c>
      <c r="C83" s="9" t="inlineStr">
        <is>
          <t>Soft costs, Phases 1 and 2: opening year</t>
        </is>
      </c>
      <c r="D83" s="24" t="inlineStr">
        <is>
          <t>share</t>
        </is>
      </c>
      <c r="E83" s="28" t="n">
        <v>0.1</v>
      </c>
      <c r="F83" s="28" t="n">
        <v>0.1</v>
      </c>
      <c r="G83" s="28" t="n">
        <v>0.1</v>
      </c>
      <c r="H83" s="29">
        <f>F83</f>
        <v/>
      </c>
      <c r="I83" s="27" t="inlineStr">
        <is>
          <t>Draft</t>
        </is>
      </c>
    </row>
    <row r="84">
      <c r="A84" s="23" t="inlineStr">
        <is>
          <t>Capex timing (share of each cost by year)</t>
        </is>
      </c>
      <c r="B84" s="23" t="inlineStr">
        <is>
          <t>t3_soft_m2</t>
        </is>
      </c>
      <c r="C84" s="9" t="inlineStr">
        <is>
          <t>Soft costs, Phase 3: 2 years before opening (2030 at base)</t>
        </is>
      </c>
      <c r="D84" s="24" t="inlineStr">
        <is>
          <t>share</t>
        </is>
      </c>
      <c r="E84" s="28" t="n">
        <v>0.5</v>
      </c>
      <c r="F84" s="28" t="n">
        <v>0.5</v>
      </c>
      <c r="G84" s="28" t="n">
        <v>0.5</v>
      </c>
      <c r="H84" s="29">
        <f>F84</f>
        <v/>
      </c>
      <c r="I84" s="27" t="inlineStr">
        <is>
          <t>Draft: Phase 3 work starts in 2030 (planning target, 14 Oct 2026)</t>
        </is>
      </c>
    </row>
    <row r="85">
      <c r="A85" s="23" t="inlineStr">
        <is>
          <t>Capex timing (share of each cost by year)</t>
        </is>
      </c>
      <c r="B85" s="23" t="inlineStr">
        <is>
          <t>t3_soft_m1</t>
        </is>
      </c>
      <c r="C85" s="9" t="inlineStr">
        <is>
          <t>Soft costs, Phase 3: 1 year before (2031 at base)</t>
        </is>
      </c>
      <c r="D85" s="24" t="inlineStr">
        <is>
          <t>share</t>
        </is>
      </c>
      <c r="E85" s="28" t="n">
        <v>0.3</v>
      </c>
      <c r="F85" s="28" t="n">
        <v>0.3</v>
      </c>
      <c r="G85" s="28" t="n">
        <v>0.3</v>
      </c>
      <c r="H85" s="29">
        <f>F85</f>
        <v/>
      </c>
      <c r="I85" s="27" t="inlineStr">
        <is>
          <t>Draft</t>
        </is>
      </c>
    </row>
    <row r="86">
      <c r="A86" s="23" t="inlineStr">
        <is>
          <t>Capex timing (share of each cost by year)</t>
        </is>
      </c>
      <c r="B86" s="23" t="inlineStr">
        <is>
          <t>t3_soft_0</t>
        </is>
      </c>
      <c r="C86" s="9" t="inlineStr">
        <is>
          <t>Soft costs, Phase 3: opening year (2032 at base)</t>
        </is>
      </c>
      <c r="D86" s="24" t="inlineStr">
        <is>
          <t>share</t>
        </is>
      </c>
      <c r="E86" s="28" t="n">
        <v>0.2</v>
      </c>
      <c r="F86" s="28" t="n">
        <v>0.2</v>
      </c>
      <c r="G86" s="28" t="n">
        <v>0.2</v>
      </c>
      <c r="H86" s="29">
        <f>F86</f>
        <v/>
      </c>
      <c r="I86" s="27" t="inlineStr">
        <is>
          <t>Draft</t>
        </is>
      </c>
    </row>
    <row r="87">
      <c r="A87" s="23" t="inlineStr">
        <is>
          <t>Capex timing (share of each cost by year)</t>
        </is>
      </c>
      <c r="B87" s="23" t="inlineStr">
        <is>
          <t>t_hard_m2</t>
        </is>
      </c>
      <c r="C87" s="9" t="inlineStr">
        <is>
          <t>Hard costs and contingency, Phases 1 and 2: two years before opening</t>
        </is>
      </c>
      <c r="D87" s="24" t="inlineStr">
        <is>
          <t>share</t>
        </is>
      </c>
      <c r="E87" s="28" t="n">
        <v>0</v>
      </c>
      <c r="F87" s="28" t="n">
        <v>0</v>
      </c>
      <c r="G87" s="28" t="n">
        <v>0</v>
      </c>
      <c r="H87" s="29">
        <f>F87</f>
        <v/>
      </c>
      <c r="I87" s="27" t="inlineStr">
        <is>
          <t>Draft: nothing built before permits at the end of 2028</t>
        </is>
      </c>
    </row>
    <row r="88">
      <c r="A88" s="23" t="inlineStr">
        <is>
          <t>Capex timing (share of each cost by year)</t>
        </is>
      </c>
      <c r="B88" s="23" t="inlineStr">
        <is>
          <t>t_hard_m1</t>
        </is>
      </c>
      <c r="C88" s="9" t="inlineStr">
        <is>
          <t>Hard costs and contingency, Phases 1 and 2: year before opening (2029 at base)</t>
        </is>
      </c>
      <c r="D88" s="24" t="inlineStr">
        <is>
          <t>share</t>
        </is>
      </c>
      <c r="E88" s="28" t="n">
        <v>0.75</v>
      </c>
      <c r="F88" s="28" t="n">
        <v>0.75</v>
      </c>
      <c r="G88" s="28" t="n">
        <v>0.75</v>
      </c>
      <c r="H88" s="29">
        <f>F88</f>
        <v/>
      </c>
      <c r="I88" s="27" t="inlineStr">
        <is>
          <t>Draft: built in 2029 (planning target, 14 Oct 2026), about 16 months from January 2029 to a May 2030 opening; the research put Phase 1 alone at about 18 months (S28)</t>
        </is>
      </c>
    </row>
    <row r="89">
      <c r="A89" s="23" t="inlineStr">
        <is>
          <t>Capex timing (share of each cost by year)</t>
        </is>
      </c>
      <c r="B89" s="23" t="inlineStr">
        <is>
          <t>t_hard_0</t>
        </is>
      </c>
      <c r="C89" s="9" t="inlineStr">
        <is>
          <t>Hard costs and contingency, Phases 1 and 2: opening year (2030 at base)</t>
        </is>
      </c>
      <c r="D89" s="24" t="inlineStr">
        <is>
          <t>share</t>
        </is>
      </c>
      <c r="E89" s="28" t="n">
        <v>0.25</v>
      </c>
      <c r="F89" s="28" t="n">
        <v>0.25</v>
      </c>
      <c r="G89" s="28" t="n">
        <v>0.25</v>
      </c>
      <c r="H89" s="29">
        <f>F89</f>
        <v/>
      </c>
      <c r="I89" s="27" t="inlineStr">
        <is>
          <t>Draft: January to April 2030</t>
        </is>
      </c>
    </row>
    <row r="90">
      <c r="A90" s="23" t="inlineStr">
        <is>
          <t>Capex timing (share of each cost by year)</t>
        </is>
      </c>
      <c r="B90" s="23" t="inlineStr">
        <is>
          <t>t3_hard_m2</t>
        </is>
      </c>
      <c r="C90" s="9" t="inlineStr">
        <is>
          <t>Hard costs and contingency, Phase 3: two years before opening (2030 at base)</t>
        </is>
      </c>
      <c r="D90" s="24" t="inlineStr">
        <is>
          <t>share</t>
        </is>
      </c>
      <c r="E90" s="28" t="n">
        <v>0.2</v>
      </c>
      <c r="F90" s="28" t="n">
        <v>0.2</v>
      </c>
      <c r="G90" s="28" t="n">
        <v>0.2</v>
      </c>
      <c r="H90" s="29">
        <f>F90</f>
        <v/>
      </c>
      <c r="I90" s="27" t="inlineStr">
        <is>
          <t>Draft: site work and planting from 2030</t>
        </is>
      </c>
    </row>
    <row r="91">
      <c r="A91" s="23" t="inlineStr">
        <is>
          <t>Capex timing (share of each cost by year)</t>
        </is>
      </c>
      <c r="B91" s="23" t="inlineStr">
        <is>
          <t>t3_hard_m1</t>
        </is>
      </c>
      <c r="C91" s="9" t="inlineStr">
        <is>
          <t>Hard costs and contingency, Phase 3: year before opening (2031 at base)</t>
        </is>
      </c>
      <c r="D91" s="24" t="inlineStr">
        <is>
          <t>share</t>
        </is>
      </c>
      <c r="E91" s="28" t="n">
        <v>0.55</v>
      </c>
      <c r="F91" s="28" t="n">
        <v>0.55</v>
      </c>
      <c r="G91" s="28" t="n">
        <v>0.55</v>
      </c>
      <c r="H91" s="29">
        <f>F91</f>
        <v/>
      </c>
      <c r="I91" s="27" t="inlineStr">
        <is>
          <t>Draft: gallery build 12 to 18 months (S22)</t>
        </is>
      </c>
    </row>
    <row r="92">
      <c r="A92" s="23" t="inlineStr">
        <is>
          <t>Capex timing (share of each cost by year)</t>
        </is>
      </c>
      <c r="B92" s="23" t="inlineStr">
        <is>
          <t>t3_hard_0</t>
        </is>
      </c>
      <c r="C92" s="9" t="inlineStr">
        <is>
          <t>Hard costs and contingency, Phase 3: opening year (2032 at base)</t>
        </is>
      </c>
      <c r="D92" s="24" t="inlineStr">
        <is>
          <t>share</t>
        </is>
      </c>
      <c r="E92" s="28" t="n">
        <v>0.25</v>
      </c>
      <c r="F92" s="28" t="n">
        <v>0.25</v>
      </c>
      <c r="G92" s="28" t="n">
        <v>0.25</v>
      </c>
      <c r="H92" s="29">
        <f>F92</f>
        <v/>
      </c>
      <c r="I92" s="27" t="inlineStr">
        <is>
          <t>Draft</t>
        </is>
      </c>
    </row>
    <row r="93">
      <c r="A93" s="23" t="inlineStr">
        <is>
          <t>Capex timing (share of each cost by year)</t>
        </is>
      </c>
      <c r="B93" s="23" t="inlineStr">
        <is>
          <t>t_cabin_m1</t>
        </is>
      </c>
      <c r="C93" s="9" t="inlineStr">
        <is>
          <t>Cabins: year before opening (order deposit)</t>
        </is>
      </c>
      <c r="D93" s="24" t="inlineStr">
        <is>
          <t>share</t>
        </is>
      </c>
      <c r="E93" s="28" t="n">
        <v>0.5</v>
      </c>
      <c r="F93" s="28" t="n">
        <v>0.5</v>
      </c>
      <c r="G93" s="28" t="n">
        <v>0.5</v>
      </c>
      <c r="H93" s="29">
        <f>F93</f>
        <v/>
      </c>
      <c r="I93" s="27" t="inlineStr">
        <is>
          <t>Research: Planning target: 50% at order, 40% on completion, 10% on delivery (S03)</t>
        </is>
      </c>
    </row>
    <row r="94">
      <c r="A94" s="23" t="inlineStr">
        <is>
          <t>Capex timing (share of each cost by year)</t>
        </is>
      </c>
      <c r="B94" s="23" t="inlineStr">
        <is>
          <t>t_cabin_0</t>
        </is>
      </c>
      <c r="C94" s="9" t="inlineStr">
        <is>
          <t>Cabins: opening year (completion and delivery)</t>
        </is>
      </c>
      <c r="D94" s="24" t="inlineStr">
        <is>
          <t>share</t>
        </is>
      </c>
      <c r="E94" s="28" t="n">
        <v>0.5</v>
      </c>
      <c r="F94" s="28" t="n">
        <v>0.5</v>
      </c>
      <c r="G94" s="28" t="n">
        <v>0.5</v>
      </c>
      <c r="H94" s="29">
        <f>F94</f>
        <v/>
      </c>
      <c r="I94" s="27" t="inlineStr">
        <is>
          <t>Research: S03</t>
        </is>
      </c>
    </row>
    <row r="95">
      <c r="A95" s="23" t="inlineStr">
        <is>
          <t>Capex timing (share of each cost by year)</t>
        </is>
      </c>
      <c r="B95" s="23" t="inlineStr">
        <is>
          <t>t_equip_m1</t>
        </is>
      </c>
      <c r="C95" s="9" t="inlineStr">
        <is>
          <t>Equipment: year before opening</t>
        </is>
      </c>
      <c r="D95" s="24" t="inlineStr">
        <is>
          <t>share</t>
        </is>
      </c>
      <c r="E95" s="28" t="n">
        <v>0.4</v>
      </c>
      <c r="F95" s="28" t="n">
        <v>0.4</v>
      </c>
      <c r="G95" s="28" t="n">
        <v>0.4</v>
      </c>
      <c r="H95" s="29">
        <f>F95</f>
        <v/>
      </c>
      <c r="I95" s="27" t="inlineStr">
        <is>
          <t>Draft</t>
        </is>
      </c>
    </row>
    <row r="96">
      <c r="A96" s="23" t="inlineStr">
        <is>
          <t>Capex timing (share of each cost by year)</t>
        </is>
      </c>
      <c r="B96" s="23" t="inlineStr">
        <is>
          <t>t_equip_0</t>
        </is>
      </c>
      <c r="C96" s="9" t="inlineStr">
        <is>
          <t>Equipment: opening year</t>
        </is>
      </c>
      <c r="D96" s="24" t="inlineStr">
        <is>
          <t>share</t>
        </is>
      </c>
      <c r="E96" s="28" t="n">
        <v>0.6</v>
      </c>
      <c r="F96" s="28" t="n">
        <v>0.6</v>
      </c>
      <c r="G96" s="28" t="n">
        <v>0.6</v>
      </c>
      <c r="H96" s="29">
        <f>F96</f>
        <v/>
      </c>
      <c r="I96" s="27" t="inlineStr">
        <is>
          <t>Draft</t>
        </is>
      </c>
    </row>
    <row r="97">
      <c r="A97" s="7" t="inlineStr">
        <is>
          <t>Lodging (program guests only: no public short-term rentals)</t>
        </is>
      </c>
      <c r="B97" s="8" t="n"/>
      <c r="C97" s="8" t="n"/>
      <c r="D97" s="8" t="n"/>
      <c r="E97" s="8" t="n"/>
      <c r="F97" s="8" t="n"/>
      <c r="G97" s="8" t="n"/>
      <c r="H97" s="8" t="n"/>
      <c r="I97" s="8" t="n"/>
    </row>
    <row r="98">
      <c r="A98" s="23" t="inlineStr">
        <is>
          <t>Lodging (program guests only: no public short-term rentals)</t>
        </is>
      </c>
      <c r="B98" s="23" t="inlineStr">
        <is>
          <t>open_nights</t>
        </is>
      </c>
      <c r="C98" s="9" t="inlineStr">
        <is>
          <t>Nights open per year</t>
        </is>
      </c>
      <c r="D98" s="24" t="inlineStr">
        <is>
          <t>nights</t>
        </is>
      </c>
      <c r="E98" s="32" t="n">
        <v>340</v>
      </c>
      <c r="F98" s="32" t="n">
        <v>340</v>
      </c>
      <c r="G98" s="32" t="n">
        <v>340</v>
      </c>
      <c r="H98" s="33">
        <f>F98</f>
        <v/>
      </c>
      <c r="I98" s="27" t="inlineStr">
        <is>
          <t>Assumption: year-round in Ojai's climate, about 25 nights closed for maintenance</t>
        </is>
      </c>
    </row>
    <row r="99">
      <c r="A99" s="23" t="inlineStr">
        <is>
          <t>Lodging (program guests only: no public short-term rentals)</t>
        </is>
      </c>
      <c r="B99" s="23" t="inlineStr">
        <is>
          <t>adr</t>
        </is>
      </c>
      <c r="C99" s="9" t="inlineStr">
        <is>
          <t>Cabin nightly rate: lodging share of program packages (before 8% TOT)</t>
        </is>
      </c>
      <c r="D99" s="24" t="inlineStr">
        <is>
          <t>USD</t>
        </is>
      </c>
      <c r="E99" s="32" t="n">
        <v>450</v>
      </c>
      <c r="F99" s="32" t="n">
        <v>550</v>
      </c>
      <c r="G99" s="32" t="n">
        <v>675</v>
      </c>
      <c r="H99" s="32" t="n">
        <v>450</v>
      </c>
      <c r="I99" s="27" t="inlineStr">
        <is>
          <t>Assumption anchored to S12 (Ojai Valley Inn about USD 695 to 1,019; a 2026 group rate USD 389++; Ojai Rancho Inn about USD 200 to 250; Caravan Outpost about USD 144 to 209), S13 (Ojai short-term rentals USD 465 to 489) and Arcana Ontario CAD 395 to 625 (S24)</t>
        </is>
      </c>
    </row>
    <row r="100">
      <c r="A100" s="23" t="inlineStr">
        <is>
          <t>Lodging (program guests only: no public short-term rentals)</t>
        </is>
      </c>
      <c r="B100" s="23" t="inlineStr">
        <is>
          <t>public_occ</t>
        </is>
      </c>
      <c r="C100" s="9" t="inlineStr">
        <is>
          <t>Public short-term stays (share of available nights)</t>
        </is>
      </c>
      <c r="D100" s="24" t="inlineStr">
        <is>
          <t>share</t>
        </is>
      </c>
      <c r="E100" s="28" t="n">
        <v>0</v>
      </c>
      <c r="F100" s="28" t="n">
        <v>0</v>
      </c>
      <c r="G100" s="28" t="n">
        <v>0</v>
      </c>
      <c r="H100" s="29">
        <f>F100</f>
        <v/>
      </c>
      <c r="I100" s="27" t="inlineStr">
        <is>
          <t>Research S28: the Temporary Rental Unit overlay bans rentals under 30 days across the Ojai Valley; only guests of the permitted camp program may stay. Kept at 0 in every case; the Levers sheet shows what public stays would have added. Occupancy is therefore an output of the program calendar</t>
        </is>
      </c>
    </row>
    <row r="101">
      <c r="A101" s="23" t="inlineStr">
        <is>
          <t>Lodging (program guests only: no public short-term rentals)</t>
        </is>
      </c>
      <c r="B101" s="23" t="inlineStr">
        <is>
          <t>guests_per_night</t>
        </is>
      </c>
      <c r="C101" s="9" t="inlineStr">
        <is>
          <t>Guests per paid cabin night</t>
        </is>
      </c>
      <c r="D101" s="24" t="inlineStr">
        <is>
          <t>guests</t>
        </is>
      </c>
      <c r="E101" s="30" t="n">
        <v>1.8</v>
      </c>
      <c r="F101" s="30" t="n">
        <v>1.8</v>
      </c>
      <c r="G101" s="30" t="n">
        <v>1.8</v>
      </c>
      <c r="H101" s="31">
        <f>F101</f>
        <v/>
      </c>
      <c r="I101" s="27" t="inlineStr">
        <is>
          <t>Assumption</t>
        </is>
      </c>
    </row>
    <row r="102">
      <c r="A102" s="23" t="inlineStr">
        <is>
          <t>Lodging (program guests only: no public short-term rentals)</t>
        </is>
      </c>
      <c r="B102" s="23" t="inlineStr">
        <is>
          <t>fb_per_guest</t>
        </is>
      </c>
      <c r="C102" s="9" t="inlineStr">
        <is>
          <t>Food and beverage per guest-night</t>
        </is>
      </c>
      <c r="D102" s="24" t="inlineStr">
        <is>
          <t>USD</t>
        </is>
      </c>
      <c r="E102" s="32" t="n">
        <v>75</v>
      </c>
      <c r="F102" s="32" t="n">
        <v>90</v>
      </c>
      <c r="G102" s="32" t="n">
        <v>110</v>
      </c>
      <c r="H102" s="32" t="n">
        <v>75</v>
      </c>
      <c r="I102" s="27" t="inlineStr">
        <is>
          <t>Assumption anchored to S14 (Forest Home Ojai: USD 229 per person for a night with three meals) and S24</t>
        </is>
      </c>
    </row>
    <row r="103">
      <c r="A103" s="23" t="inlineStr">
        <is>
          <t>Lodging (program guests only: no public short-term rentals)</t>
        </is>
      </c>
      <c r="B103" s="23" t="inlineStr">
        <is>
          <t>tot_rate</t>
        </is>
      </c>
      <c r="C103" s="9" t="inlineStr">
        <is>
          <t>Transient occupancy tax (memo, pass-through)</t>
        </is>
      </c>
      <c r="D103" s="24" t="inlineStr">
        <is>
          <t>share</t>
        </is>
      </c>
      <c r="E103" s="28" t="n">
        <v>0.08</v>
      </c>
      <c r="F103" s="28" t="n">
        <v>0.08</v>
      </c>
      <c r="G103" s="28" t="n">
        <v>0.08</v>
      </c>
      <c r="H103" s="29">
        <f>F103</f>
        <v/>
      </c>
      <c r="I103" s="27" t="inlineStr">
        <is>
          <t>Research S10: 8% in unincorporated Ventura County; 15% inside the City of Ojai. Collected from guests on top of the rate and remitted, so not revenue or expense here</t>
        </is>
      </c>
    </row>
    <row r="104">
      <c r="A104" s="7" t="inlineStr">
        <is>
          <t>Programs and events (stabilized, per year)</t>
        </is>
      </c>
      <c r="B104" s="8" t="n"/>
      <c r="C104" s="8" t="n"/>
      <c r="D104" s="8" t="n"/>
      <c r="E104" s="8" t="n"/>
      <c r="F104" s="8" t="n"/>
      <c r="G104" s="8" t="n"/>
      <c r="H104" s="8" t="n"/>
      <c r="I104" s="8" t="n"/>
    </row>
    <row r="105">
      <c r="A105" s="23" t="inlineStr">
        <is>
          <t>Programs and events (stabilized, per year)</t>
        </is>
      </c>
      <c r="B105" s="23" t="inlineStr">
        <is>
          <t>residencies</t>
        </is>
      </c>
      <c r="C105" s="9" t="inlineStr">
        <is>
          <t>Residencies per year</t>
        </is>
      </c>
      <c r="D105" s="24" t="inlineStr">
        <is>
          <t>count</t>
        </is>
      </c>
      <c r="E105" s="30" t="n">
        <v>6</v>
      </c>
      <c r="F105" s="30" t="n">
        <v>8</v>
      </c>
      <c r="G105" s="30" t="n">
        <v>10</v>
      </c>
      <c r="H105" s="31">
        <f>F105</f>
        <v/>
      </c>
      <c r="I105" s="27" t="inlineStr">
        <is>
          <t>Assumption: S25 (year one: 7 residencies plus a winter residency)</t>
        </is>
      </c>
    </row>
    <row r="106">
      <c r="A106" s="23" t="inlineStr">
        <is>
          <t>Programs and events (stabilized, per year)</t>
        </is>
      </c>
      <c r="B106" s="23" t="inlineStr">
        <is>
          <t>res_nights</t>
        </is>
      </c>
      <c r="C106" s="9" t="inlineStr">
        <is>
          <t>Nights per residency</t>
        </is>
      </c>
      <c r="D106" s="24" t="inlineStr">
        <is>
          <t>nights</t>
        </is>
      </c>
      <c r="E106" s="32" t="n">
        <v>14</v>
      </c>
      <c r="F106" s="32" t="n">
        <v>14</v>
      </c>
      <c r="G106" s="32" t="n">
        <v>14</v>
      </c>
      <c r="H106" s="33">
        <f>F106</f>
        <v/>
      </c>
      <c r="I106" s="27" t="inlineStr">
        <is>
          <t>Research: S25 (12 to 14 days)</t>
        </is>
      </c>
    </row>
    <row r="107">
      <c r="A107" s="23" t="inlineStr">
        <is>
          <t>Programs and events (stabilized, per year)</t>
        </is>
      </c>
      <c r="B107" s="23" t="inlineStr">
        <is>
          <t>res_cabins</t>
        </is>
      </c>
      <c r="C107" s="9" t="inlineStr">
        <is>
          <t>Cabins used per residency</t>
        </is>
      </c>
      <c r="D107" s="24" t="inlineStr">
        <is>
          <t>count</t>
        </is>
      </c>
      <c r="E107" s="30" t="n">
        <v>3</v>
      </c>
      <c r="F107" s="30" t="n">
        <v>4</v>
      </c>
      <c r="G107" s="30" t="n">
        <v>5</v>
      </c>
      <c r="H107" s="31">
        <f>F107</f>
        <v/>
      </c>
      <c r="I107" s="27" t="inlineStr">
        <is>
          <t>Assumption: a band of four to six plus an engineer</t>
        </is>
      </c>
    </row>
    <row r="108">
      <c r="A108" s="23" t="inlineStr">
        <is>
          <t>Programs and events (stabilized, per year)</t>
        </is>
      </c>
      <c r="B108" s="23" t="inlineStr">
        <is>
          <t>res_paid_share</t>
        </is>
      </c>
      <c r="C108" s="9" t="inlineStr">
        <is>
          <t>Share of residencies paid by labels or artists</t>
        </is>
      </c>
      <c r="D108" s="24" t="inlineStr">
        <is>
          <t>share</t>
        </is>
      </c>
      <c r="E108" s="28" t="n">
        <v>0.15</v>
      </c>
      <c r="F108" s="28" t="n">
        <v>0.25</v>
      </c>
      <c r="G108" s="28" t="n">
        <v>0.35</v>
      </c>
      <c r="H108" s="28" t="n">
        <v>0.15</v>
      </c>
      <c r="I108" s="27" t="inlineStr">
        <is>
          <t>Assumption (paid bookings vs fellowships is open, S24)</t>
        </is>
      </c>
    </row>
    <row r="109">
      <c r="A109" s="23" t="inlineStr">
        <is>
          <t>Programs and events (stabilized, per year)</t>
        </is>
      </c>
      <c r="B109" s="23" t="inlineStr">
        <is>
          <t>res_paid_fee</t>
        </is>
      </c>
      <c r="C109" s="9" t="inlineStr">
        <is>
          <t>Fee per paid residency (two weeks, all-in)</t>
        </is>
      </c>
      <c r="D109" s="24" t="inlineStr">
        <is>
          <t>USD</t>
        </is>
      </c>
      <c r="E109" s="32" t="n">
        <v>35000</v>
      </c>
      <c r="F109" s="32" t="n">
        <v>50000</v>
      </c>
      <c r="G109" s="32" t="n">
        <v>70000</v>
      </c>
      <c r="H109" s="32" t="n">
        <v>35000</v>
      </c>
      <c r="I109" s="27" t="inlineStr">
        <is>
          <t>Assumption: S24 (USD 35k to 70k)</t>
        </is>
      </c>
    </row>
    <row r="110">
      <c r="A110" s="23" t="inlineStr">
        <is>
          <t>Programs and events (stabilized, per year)</t>
        </is>
      </c>
      <c r="B110" s="23" t="inlineStr">
        <is>
          <t>retreats</t>
        </is>
      </c>
      <c r="C110" s="9" t="inlineStr">
        <is>
          <t>Retreats per year</t>
        </is>
      </c>
      <c r="D110" s="24" t="inlineStr">
        <is>
          <t>count</t>
        </is>
      </c>
      <c r="E110" s="30" t="n">
        <v>6</v>
      </c>
      <c r="F110" s="30" t="n">
        <v>10</v>
      </c>
      <c r="G110" s="30" t="n">
        <v>14</v>
      </c>
      <c r="H110" s="30" t="n">
        <v>6</v>
      </c>
      <c r="I110" s="27" t="inlineStr">
        <is>
          <t>Assumption: S21 (8 to 15), S25 (3 in year one)</t>
        </is>
      </c>
    </row>
    <row r="111">
      <c r="A111" s="23" t="inlineStr">
        <is>
          <t>Programs and events (stabilized, per year)</t>
        </is>
      </c>
      <c r="B111" s="23" t="inlineStr">
        <is>
          <t>retreat_guests</t>
        </is>
      </c>
      <c r="C111" s="9" t="inlineStr">
        <is>
          <t>Guests per retreat (capped at beds installed)</t>
        </is>
      </c>
      <c r="D111" s="24" t="inlineStr">
        <is>
          <t>guests</t>
        </is>
      </c>
      <c r="E111" s="30" t="n">
        <v>10</v>
      </c>
      <c r="F111" s="30" t="n">
        <v>15</v>
      </c>
      <c r="G111" s="30" t="n">
        <v>20</v>
      </c>
      <c r="H111" s="30" t="n">
        <v>10</v>
      </c>
      <c r="I111" s="27" t="inlineStr">
        <is>
          <t>Planning target: Planning target, 14 Oct 2026: 10 to 20 guests; base 15 is the midpoint (draft). S24 also had 10 to 20</t>
        </is>
      </c>
    </row>
    <row r="112">
      <c r="A112" s="23" t="inlineStr">
        <is>
          <t>Programs and events (stabilized, per year)</t>
        </is>
      </c>
      <c r="B112" s="23" t="inlineStr">
        <is>
          <t>retreat_days</t>
        </is>
      </c>
      <c r="C112" s="9" t="inlineStr">
        <is>
          <t>Days per retreat (the model counts one cabin night per day)</t>
        </is>
      </c>
      <c r="D112" s="24" t="inlineStr">
        <is>
          <t>days</t>
        </is>
      </c>
      <c r="E112" s="30" t="n">
        <v>3</v>
      </c>
      <c r="F112" s="30" t="n">
        <v>3.5</v>
      </c>
      <c r="G112" s="30" t="n">
        <v>4</v>
      </c>
      <c r="H112" s="30" t="n">
        <v>3</v>
      </c>
      <c r="I112" s="27" t="inlineStr">
        <is>
          <t>Planning target: Planning target, 14 Oct 2026: 3 to 4 days; base 3.5 is the midpoint (draft)</t>
        </is>
      </c>
    </row>
    <row r="113">
      <c r="A113" s="23" t="inlineStr">
        <is>
          <t>Programs and events (stabilized, per year)</t>
        </is>
      </c>
      <c r="B113" s="23" t="inlineStr">
        <is>
          <t>retreat_price</t>
        </is>
      </c>
      <c r="C113" s="9" t="inlineStr">
        <is>
          <t>Retreat price per guest, all-in (lodging, meals and program)</t>
        </is>
      </c>
      <c r="D113" s="24" t="inlineStr">
        <is>
          <t>USD</t>
        </is>
      </c>
      <c r="E113" s="32" t="n">
        <v>3500</v>
      </c>
      <c r="F113" s="32" t="n">
        <v>3500</v>
      </c>
      <c r="G113" s="32" t="n">
        <v>3500</v>
      </c>
      <c r="H113" s="32" t="n">
        <v>3000</v>
      </c>
      <c r="I113" s="27" t="inlineStr">
        <is>
          <t>Planning target: Planning target, 14 Oct 2026: costs should be built on USD 3,500 per head. Stress USD 3,000 (draft). For scale: about USD 1,000 per guest per day at 3.5 days; the earlier all-in assumption was USD 650 to 750 per person per night; Esalen 5-day workshops USD 2,060 to 2,295 (S24)</t>
        </is>
      </c>
    </row>
    <row r="114">
      <c r="A114" s="23" t="inlineStr">
        <is>
          <t>Programs and events (stabilized, per year)</t>
        </is>
      </c>
      <c r="B114" s="23" t="inlineStr">
        <is>
          <t>weekends</t>
        </is>
      </c>
      <c r="C114" s="9" t="inlineStr">
        <is>
          <t>Program weekends per year (listening weekends, member programs, studio intensives)</t>
        </is>
      </c>
      <c r="D114" s="24" t="inlineStr">
        <is>
          <t>count</t>
        </is>
      </c>
      <c r="E114" s="30" t="n">
        <v>12</v>
      </c>
      <c r="F114" s="30" t="n">
        <v>26</v>
      </c>
      <c r="G114" s="30" t="n">
        <v>40</v>
      </c>
      <c r="H114" s="30" t="n">
        <v>12</v>
      </c>
      <c r="I114" s="27" t="inlineStr">
        <is>
          <t>Assumption: camp stays must sit inside a structured program (S28); base is every other weekend</t>
        </is>
      </c>
    </row>
    <row r="115">
      <c r="A115" s="23" t="inlineStr">
        <is>
          <t>Programs and events (stabilized, per year)</t>
        </is>
      </c>
      <c r="B115" s="23" t="inlineStr">
        <is>
          <t>weekend_guests</t>
        </is>
      </c>
      <c r="C115" s="9" t="inlineStr">
        <is>
          <t>Guests per program weekend (capped at beds installed)</t>
        </is>
      </c>
      <c r="D115" s="24" t="inlineStr">
        <is>
          <t>guests</t>
        </is>
      </c>
      <c r="E115" s="30" t="n">
        <v>8</v>
      </c>
      <c r="F115" s="30" t="n">
        <v>12</v>
      </c>
      <c r="G115" s="30" t="n">
        <v>16</v>
      </c>
      <c r="H115" s="30" t="n">
        <v>8</v>
      </c>
      <c r="I115" s="27" t="inlineStr">
        <is>
          <t>Assumption</t>
        </is>
      </c>
    </row>
    <row r="116">
      <c r="A116" s="23" t="inlineStr">
        <is>
          <t>Programs and events (stabilized, per year)</t>
        </is>
      </c>
      <c r="B116" s="23" t="inlineStr">
        <is>
          <t>weekend_nights</t>
        </is>
      </c>
      <c r="C116" s="9" t="inlineStr">
        <is>
          <t>Nights per program weekend</t>
        </is>
      </c>
      <c r="D116" s="24" t="inlineStr">
        <is>
          <t>nights</t>
        </is>
      </c>
      <c r="E116" s="32" t="n">
        <v>2</v>
      </c>
      <c r="F116" s="32" t="n">
        <v>2</v>
      </c>
      <c r="G116" s="32" t="n">
        <v>2</v>
      </c>
      <c r="H116" s="33">
        <f>F116</f>
        <v/>
      </c>
      <c r="I116" s="27" t="inlineStr">
        <is>
          <t>Assumption</t>
        </is>
      </c>
    </row>
    <row r="117">
      <c r="A117" s="23" t="inlineStr">
        <is>
          <t>Programs and events (stabilized, per year)</t>
        </is>
      </c>
      <c r="B117" s="23" t="inlineStr">
        <is>
          <t>weekend_fee</t>
        </is>
      </c>
      <c r="C117" s="9" t="inlineStr">
        <is>
          <t>Program weekend fee per guest per day (excl. lodging and meals)</t>
        </is>
      </c>
      <c r="D117" s="24" t="inlineStr">
        <is>
          <t>USD</t>
        </is>
      </c>
      <c r="E117" s="32" t="n">
        <v>100</v>
      </c>
      <c r="F117" s="32" t="n">
        <v>150</v>
      </c>
      <c r="G117" s="32" t="n">
        <v>200</v>
      </c>
      <c r="H117" s="32" t="n">
        <v>100</v>
      </c>
      <c r="I117" s="27" t="inlineStr">
        <is>
          <t>Assumption: listening sessions, studio time and facilitators; lodging and meals are billed on top</t>
        </is>
      </c>
    </row>
    <row r="118">
      <c r="A118" s="23" t="inlineStr">
        <is>
          <t>Programs and events (stabilized, per year)</t>
        </is>
      </c>
      <c r="B118" s="23" t="inlineStr">
        <is>
          <t>takeovers</t>
        </is>
      </c>
      <c r="C118" s="9" t="inlineStr">
        <is>
          <t>Full-site takeovers per year</t>
        </is>
      </c>
      <c r="D118" s="24" t="inlineStr">
        <is>
          <t>count</t>
        </is>
      </c>
      <c r="E118" s="30" t="n">
        <v>2</v>
      </c>
      <c r="F118" s="30" t="n">
        <v>4</v>
      </c>
      <c r="G118" s="30" t="n">
        <v>6</v>
      </c>
      <c r="H118" s="30" t="n">
        <v>2</v>
      </c>
      <c r="I118" s="27" t="inlineStr">
        <is>
          <t>Assumption: S24 (2 to 4), S21 (6 to 12); capped by use-permit event limits (S15)</t>
        </is>
      </c>
    </row>
    <row r="119">
      <c r="A119" s="23" t="inlineStr">
        <is>
          <t>Programs and events (stabilized, per year)</t>
        </is>
      </c>
      <c r="B119" s="23" t="inlineStr">
        <is>
          <t>takeover_fee</t>
        </is>
      </c>
      <c r="C119" s="9" t="inlineStr">
        <is>
          <t>Takeover site fee (excl. cabins and F&amp;B)</t>
        </is>
      </c>
      <c r="D119" s="24" t="inlineStr">
        <is>
          <t>USD</t>
        </is>
      </c>
      <c r="E119" s="32" t="n">
        <v>35000</v>
      </c>
      <c r="F119" s="32" t="n">
        <v>50000</v>
      </c>
      <c r="G119" s="32" t="n">
        <v>75000</v>
      </c>
      <c r="H119" s="32" t="n">
        <v>35000</v>
      </c>
      <c r="I119" s="27" t="inlineStr">
        <is>
          <t>Assumption: S24: site fee USD 15k to 30k per day</t>
        </is>
      </c>
    </row>
    <row r="120">
      <c r="A120" s="23" t="inlineStr">
        <is>
          <t>Programs and events (stabilized, per year)</t>
        </is>
      </c>
      <c r="B120" s="23" t="inlineStr">
        <is>
          <t>takeover_attendees</t>
        </is>
      </c>
      <c r="C120" s="9" t="inlineStr">
        <is>
          <t>Takeover attendees</t>
        </is>
      </c>
      <c r="D120" s="24" t="inlineStr">
        <is>
          <t>people</t>
        </is>
      </c>
      <c r="E120" s="32" t="n">
        <v>150</v>
      </c>
      <c r="F120" s="32" t="n">
        <v>150</v>
      </c>
      <c r="G120" s="32" t="n">
        <v>150</v>
      </c>
      <c r="H120" s="33">
        <f>F120</f>
        <v/>
      </c>
      <c r="I120" s="27" t="inlineStr">
        <is>
          <t>Research: Brief: about 150</t>
        </is>
      </c>
    </row>
    <row r="121">
      <c r="A121" s="23" t="inlineStr">
        <is>
          <t>Programs and events (stabilized, per year)</t>
        </is>
      </c>
      <c r="B121" s="23" t="inlineStr">
        <is>
          <t>takeover_days</t>
        </is>
      </c>
      <c r="C121" s="9" t="inlineStr">
        <is>
          <t>Takeover days</t>
        </is>
      </c>
      <c r="D121" s="24" t="inlineStr">
        <is>
          <t>days</t>
        </is>
      </c>
      <c r="E121" s="32" t="n">
        <v>3</v>
      </c>
      <c r="F121" s="32" t="n">
        <v>3</v>
      </c>
      <c r="G121" s="32" t="n">
        <v>3</v>
      </c>
      <c r="H121" s="33">
        <f>F121</f>
        <v/>
      </c>
      <c r="I121" s="27" t="inlineStr">
        <is>
          <t>Assumption: S24 (2 to 4 days)</t>
        </is>
      </c>
    </row>
    <row r="122">
      <c r="A122" s="23" t="inlineStr">
        <is>
          <t>Programs and events (stabilized, per year)</t>
        </is>
      </c>
      <c r="B122" s="23" t="inlineStr">
        <is>
          <t>takeover_fb</t>
        </is>
      </c>
      <c r="C122" s="9" t="inlineStr">
        <is>
          <t>Takeover F&amp;B per attendee-day</t>
        </is>
      </c>
      <c r="D122" s="24" t="inlineStr">
        <is>
          <t>USD</t>
        </is>
      </c>
      <c r="E122" s="32" t="n">
        <v>50</v>
      </c>
      <c r="F122" s="32" t="n">
        <v>60</v>
      </c>
      <c r="G122" s="32" t="n">
        <v>75</v>
      </c>
      <c r="H122" s="32" t="n">
        <v>50</v>
      </c>
      <c r="I122" s="27" t="inlineStr">
        <is>
          <t>Assumption</t>
        </is>
      </c>
    </row>
    <row r="123">
      <c r="A123" s="23" t="inlineStr">
        <is>
          <t>Programs and events (stabilized, per year)</t>
        </is>
      </c>
      <c r="B123" s="23" t="inlineStr">
        <is>
          <t>premieres</t>
        </is>
      </c>
      <c r="C123" s="9" t="inlineStr">
        <is>
          <t>Performances per year (the premiere that ends each residency)</t>
        </is>
      </c>
      <c r="D123" s="24" t="inlineStr">
        <is>
          <t>count</t>
        </is>
      </c>
      <c r="E123" s="30" t="n">
        <v>6</v>
      </c>
      <c r="F123" s="30" t="n">
        <v>8</v>
      </c>
      <c r="G123" s="30" t="n">
        <v>12</v>
      </c>
      <c r="H123" s="30" t="n">
        <v>6</v>
      </c>
      <c r="I123" s="27" t="inlineStr">
        <is>
          <t>Assumption: S25 (one per residency)</t>
        </is>
      </c>
    </row>
    <row r="124">
      <c r="A124" s="23" t="inlineStr">
        <is>
          <t>Programs and events (stabilized, per year)</t>
        </is>
      </c>
      <c r="B124" s="23" t="inlineStr">
        <is>
          <t>premiere_seats</t>
        </is>
      </c>
      <c r="C124" s="9" t="inlineStr">
        <is>
          <t>Seats per performance</t>
        </is>
      </c>
      <c r="D124" s="24" t="inlineStr">
        <is>
          <t>seats</t>
        </is>
      </c>
      <c r="E124" s="32" t="n">
        <v>150</v>
      </c>
      <c r="F124" s="32" t="n">
        <v>150</v>
      </c>
      <c r="G124" s="32" t="n">
        <v>150</v>
      </c>
      <c r="H124" s="33">
        <f>F124</f>
        <v/>
      </c>
      <c r="I124" s="27" t="inlineStr">
        <is>
          <t>Planning target: Planning target, 14 Oct 2026: 150 x USD 80. The brief also had about 150 seats</t>
        </is>
      </c>
    </row>
    <row r="125">
      <c r="A125" s="23" t="inlineStr">
        <is>
          <t>Programs and events (stabilized, per year)</t>
        </is>
      </c>
      <c r="B125" s="23" t="inlineStr">
        <is>
          <t>premiere_paid_share</t>
        </is>
      </c>
      <c r="C125" s="9" t="inlineStr">
        <is>
          <t>Paid share of performance seats</t>
        </is>
      </c>
      <c r="D125" s="24" t="inlineStr">
        <is>
          <t>share</t>
        </is>
      </c>
      <c r="E125" s="28" t="n">
        <v>1</v>
      </c>
      <c r="F125" s="28" t="n">
        <v>1</v>
      </c>
      <c r="G125" s="28" t="n">
        <v>1</v>
      </c>
      <c r="H125" s="28" t="n">
        <v>0.85</v>
      </c>
      <c r="I125" s="27" t="inlineStr">
        <is>
          <t>Planning target: Planning target, 14 Oct 2026: 150 x USD 80, so every seat is paid. Stress 85% (draft). The programming research had 20% for neighbors, artists and applicants (S25)</t>
        </is>
      </c>
    </row>
    <row r="126">
      <c r="A126" s="23" t="inlineStr">
        <is>
          <t>Programs and events (stabilized, per year)</t>
        </is>
      </c>
      <c r="B126" s="23" t="inlineStr">
        <is>
          <t>premiere_ticket</t>
        </is>
      </c>
      <c r="C126" s="9" t="inlineStr">
        <is>
          <t>Performance ticket</t>
        </is>
      </c>
      <c r="D126" s="24" t="inlineStr">
        <is>
          <t>USD</t>
        </is>
      </c>
      <c r="E126" s="32" t="n">
        <v>80</v>
      </c>
      <c r="F126" s="32" t="n">
        <v>80</v>
      </c>
      <c r="G126" s="32" t="n">
        <v>80</v>
      </c>
      <c r="H126" s="32" t="n">
        <v>65</v>
      </c>
      <c r="I126" s="27" t="inlineStr">
        <is>
          <t>Planning target: Planning target, 14 Oct 2026: ticket prices should be 150 x USD 80. Stress USD 65 (draft). S24 range USD 40 to 150</t>
        </is>
      </c>
    </row>
    <row r="127">
      <c r="A127" s="23" t="inlineStr">
        <is>
          <t>Programs and events (stabilized, per year)</t>
        </is>
      </c>
      <c r="B127" s="23" t="inlineStr">
        <is>
          <t>premiere_bar</t>
        </is>
      </c>
      <c r="C127" s="9" t="inlineStr">
        <is>
          <t>Performance bar spend per seat</t>
        </is>
      </c>
      <c r="D127" s="24" t="inlineStr">
        <is>
          <t>USD</t>
        </is>
      </c>
      <c r="E127" s="32" t="n">
        <v>20</v>
      </c>
      <c r="F127" s="32" t="n">
        <v>25</v>
      </c>
      <c r="G127" s="32" t="n">
        <v>35</v>
      </c>
      <c r="H127" s="32" t="n">
        <v>20</v>
      </c>
      <c r="I127" s="27" t="inlineStr">
        <is>
          <t>Assumption</t>
        </is>
      </c>
    </row>
    <row r="128">
      <c r="A128" s="23" t="inlineStr">
        <is>
          <t>Programs and events (stabilized, per year)</t>
        </is>
      </c>
      <c r="B128" s="23" t="inlineStr">
        <is>
          <t>event_cap</t>
        </is>
      </c>
      <c r="C128" s="9" t="inlineStr">
        <is>
          <t>Large events allowed by the use permit (assumed)</t>
        </is>
      </c>
      <c r="D128" s="24" t="inlineStr">
        <is>
          <t>count</t>
        </is>
      </c>
      <c r="E128" s="30" t="n">
        <v>8</v>
      </c>
      <c r="F128" s="30" t="n">
        <v>12</v>
      </c>
      <c r="G128" s="30" t="n">
        <v>18</v>
      </c>
      <c r="H128" s="30" t="n">
        <v>8</v>
      </c>
      <c r="I128" s="27" t="inlineStr">
        <is>
          <t>Assumption to test: a camp permit writes in a schedule of amplified evenings (Camp Ramah runs about 90 programs a year off-season, S28); the Ojai Retreat permit allows 4 events of 80 to 150 people (S15); outdoor-event rules allow 5 a year of 76 to 250 on 5 to 249 acres (S16)</t>
        </is>
      </c>
    </row>
    <row r="129">
      <c r="A129" s="23" t="inlineStr">
        <is>
          <t>Programs and events (stabilized, per year)</t>
        </is>
      </c>
      <c r="B129" s="23" t="inlineStr">
        <is>
          <t>camp_density</t>
        </is>
      </c>
      <c r="C129" s="9" t="inlineStr">
        <is>
          <t>Camp overnight people allowed per acre (RA zone)</t>
        </is>
      </c>
      <c r="D129" s="24" t="inlineStr">
        <is>
          <t>people</t>
        </is>
      </c>
      <c r="E129" s="34" t="n">
        <v>2.56</v>
      </c>
      <c r="F129" s="34" t="n">
        <v>2.56</v>
      </c>
      <c r="G129" s="34" t="n">
        <v>2.56</v>
      </c>
      <c r="H129" s="35">
        <f>F129</f>
        <v/>
      </c>
      <c r="I129" s="27" t="inlineStr">
        <is>
          <t>Research S28: NCZO camp standard (5.12 daily people per acre)</t>
        </is>
      </c>
    </row>
    <row r="130">
      <c r="A130" s="23" t="inlineStr">
        <is>
          <t>Programs and events (stabilized, per year)</t>
        </is>
      </c>
      <c r="B130" s="23" t="inlineStr">
        <is>
          <t>camp_min_acres</t>
        </is>
      </c>
      <c r="C130" s="9" t="inlineStr">
        <is>
          <t>Minimum lot for a camp use permit (RA zone)</t>
        </is>
      </c>
      <c r="D130" s="24" t="inlineStr">
        <is>
          <t>acres</t>
        </is>
      </c>
      <c r="E130" s="32" t="n">
        <v>10</v>
      </c>
      <c r="F130" s="32" t="n">
        <v>10</v>
      </c>
      <c r="G130" s="32" t="n">
        <v>10</v>
      </c>
      <c r="H130" s="33">
        <f>F130</f>
        <v/>
      </c>
      <c r="I130" s="27" t="inlineStr">
        <is>
          <t>Research S28: NCZO Sec. 8107-17, 10 acres in RA and RE (50 in Open Space)</t>
        </is>
      </c>
    </row>
    <row r="131">
      <c r="A131" s="23" t="inlineStr">
        <is>
          <t>Programs and events (stabilized, per year)</t>
        </is>
      </c>
      <c r="B131" s="23" t="inlineStr">
        <is>
          <t>onsite_staff</t>
        </is>
      </c>
      <c r="C131" s="9" t="inlineStr">
        <is>
          <t>Staff living on site</t>
        </is>
      </c>
      <c r="D131" s="24" t="inlineStr">
        <is>
          <t>people</t>
        </is>
      </c>
      <c r="E131" s="32" t="n">
        <v>4</v>
      </c>
      <c r="F131" s="32" t="n">
        <v>6</v>
      </c>
      <c r="G131" s="32" t="n">
        <v>8</v>
      </c>
      <c r="H131" s="33">
        <f>F131</f>
        <v/>
      </c>
      <c r="I131" s="27" t="inlineStr">
        <is>
          <t>Assumption</t>
        </is>
      </c>
    </row>
    <row r="132">
      <c r="A132" s="23" t="inlineStr">
        <is>
          <t>Programs and events (stabilized, per year)</t>
        </is>
      </c>
      <c r="B132" s="23" t="inlineStr">
        <is>
          <t>members</t>
        </is>
      </c>
      <c r="C132" s="9" t="inlineStr">
        <is>
          <t>Members</t>
        </is>
      </c>
      <c r="D132" s="24" t="inlineStr">
        <is>
          <t>count</t>
        </is>
      </c>
      <c r="E132" s="30" t="n">
        <v>150</v>
      </c>
      <c r="F132" s="30" t="n">
        <v>300</v>
      </c>
      <c r="G132" s="30" t="n">
        <v>600</v>
      </c>
      <c r="H132" s="30" t="n">
        <v>150</v>
      </c>
      <c r="I132" s="27" t="inlineStr">
        <is>
          <t>Assumption: S21 (200 to 600 members)</t>
        </is>
      </c>
    </row>
    <row r="133">
      <c r="A133" s="23" t="inlineStr">
        <is>
          <t>Programs and events (stabilized, per year)</t>
        </is>
      </c>
      <c r="B133" s="23" t="inlineStr">
        <is>
          <t>member_fee</t>
        </is>
      </c>
      <c r="C133" s="9" t="inlineStr">
        <is>
          <t>Membership fee per year</t>
        </is>
      </c>
      <c r="D133" s="24" t="inlineStr">
        <is>
          <t>USD</t>
        </is>
      </c>
      <c r="E133" s="32" t="n">
        <v>350</v>
      </c>
      <c r="F133" s="32" t="n">
        <v>500</v>
      </c>
      <c r="G133" s="32" t="n">
        <v>600</v>
      </c>
      <c r="H133" s="32" t="n">
        <v>350</v>
      </c>
      <c r="I133" s="27" t="inlineStr">
        <is>
          <t>Assumption: S21 (USD 250 to 1,000)</t>
        </is>
      </c>
    </row>
    <row r="134">
      <c r="A134" s="23" t="inlineStr">
        <is>
          <t>Programs and events (stabilized, per year)</t>
        </is>
      </c>
      <c r="B134" s="23" t="inlineStr">
        <is>
          <t>workshops</t>
        </is>
      </c>
      <c r="C134" s="9" t="inlineStr">
        <is>
          <t>Workshops per year</t>
        </is>
      </c>
      <c r="D134" s="24" t="inlineStr">
        <is>
          <t>count</t>
        </is>
      </c>
      <c r="E134" s="30" t="n">
        <v>12</v>
      </c>
      <c r="F134" s="30" t="n">
        <v>24</v>
      </c>
      <c r="G134" s="30" t="n">
        <v>36</v>
      </c>
      <c r="H134" s="30" t="n">
        <v>12</v>
      </c>
      <c r="I134" s="27" t="inlineStr">
        <is>
          <t>Assumption: S21 and S24</t>
        </is>
      </c>
    </row>
    <row r="135">
      <c r="A135" s="23" t="inlineStr">
        <is>
          <t>Programs and events (stabilized, per year)</t>
        </is>
      </c>
      <c r="B135" s="23" t="inlineStr">
        <is>
          <t>workshop_guests</t>
        </is>
      </c>
      <c r="C135" s="9" t="inlineStr">
        <is>
          <t>Guests per workshop</t>
        </is>
      </c>
      <c r="D135" s="24" t="inlineStr">
        <is>
          <t>people</t>
        </is>
      </c>
      <c r="E135" s="32" t="n">
        <v>12</v>
      </c>
      <c r="F135" s="32" t="n">
        <v>16</v>
      </c>
      <c r="G135" s="32" t="n">
        <v>20</v>
      </c>
      <c r="H135" s="32" t="n">
        <v>12</v>
      </c>
      <c r="I135" s="27" t="inlineStr">
        <is>
          <t>Assumption: S24 (15 to 40)</t>
        </is>
      </c>
    </row>
    <row r="136">
      <c r="A136" s="23" t="inlineStr">
        <is>
          <t>Programs and events (stabilized, per year)</t>
        </is>
      </c>
      <c r="B136" s="23" t="inlineStr">
        <is>
          <t>workshop_price</t>
        </is>
      </c>
      <c r="C136" s="9" t="inlineStr">
        <is>
          <t>Workshop price per guest</t>
        </is>
      </c>
      <c r="D136" s="24" t="inlineStr">
        <is>
          <t>USD</t>
        </is>
      </c>
      <c r="E136" s="32" t="n">
        <v>150</v>
      </c>
      <c r="F136" s="32" t="n">
        <v>200</v>
      </c>
      <c r="G136" s="32" t="n">
        <v>275</v>
      </c>
      <c r="H136" s="32" t="n">
        <v>150</v>
      </c>
      <c r="I136" s="27" t="inlineStr">
        <is>
          <t>Assumption: S21 and S24 (USD 150 to 400)</t>
        </is>
      </c>
    </row>
    <row r="137">
      <c r="A137" s="23" t="inlineStr">
        <is>
          <t>Programs and events (stabilized, per year)</t>
        </is>
      </c>
      <c r="B137" s="23" t="inlineStr">
        <is>
          <t>studio_days</t>
        </is>
      </c>
      <c r="C137" s="9" t="inlineStr">
        <is>
          <t>Studio days booked outside residencies</t>
        </is>
      </c>
      <c r="D137" s="24" t="inlineStr">
        <is>
          <t>days</t>
        </is>
      </c>
      <c r="E137" s="32" t="n">
        <v>20</v>
      </c>
      <c r="F137" s="32" t="n">
        <v>40</v>
      </c>
      <c r="G137" s="32" t="n">
        <v>80</v>
      </c>
      <c r="H137" s="32" t="n">
        <v>20</v>
      </c>
      <c r="I137" s="27" t="inlineStr">
        <is>
          <t>Assumption</t>
        </is>
      </c>
    </row>
    <row r="138">
      <c r="A138" s="23" t="inlineStr">
        <is>
          <t>Programs and events (stabilized, per year)</t>
        </is>
      </c>
      <c r="B138" s="23" t="inlineStr">
        <is>
          <t>studio_rate</t>
        </is>
      </c>
      <c r="C138" s="9" t="inlineStr">
        <is>
          <t>Studio day rate</t>
        </is>
      </c>
      <c r="D138" s="24" t="inlineStr">
        <is>
          <t>USD</t>
        </is>
      </c>
      <c r="E138" s="32" t="n">
        <v>1200</v>
      </c>
      <c r="F138" s="32" t="n">
        <v>1800</v>
      </c>
      <c r="G138" s="32" t="n">
        <v>2500</v>
      </c>
      <c r="H138" s="32" t="n">
        <v>1200</v>
      </c>
      <c r="I138" s="27" t="inlineStr">
        <is>
          <t>Assumption: S24: mid-tier residential studios USD 1,000 to 2,000 a day</t>
        </is>
      </c>
    </row>
    <row r="139">
      <c r="A139" s="23" t="inlineStr">
        <is>
          <t>Programs and events (stabilized, per year)</t>
        </is>
      </c>
      <c r="B139" s="23" t="inlineStr">
        <is>
          <t>gallery_rev</t>
        </is>
      </c>
      <c r="C139" s="9" t="inlineStr">
        <is>
          <t>Gallery sessions, kissa bar and shop</t>
        </is>
      </c>
      <c r="D139" s="24" t="inlineStr">
        <is>
          <t>USD</t>
        </is>
      </c>
      <c r="E139" s="32" t="n">
        <v>40000</v>
      </c>
      <c r="F139" s="32" t="n">
        <v>90000</v>
      </c>
      <c r="G139" s="32" t="n">
        <v>180000</v>
      </c>
      <c r="H139" s="32" t="n">
        <v>40000</v>
      </c>
      <c r="I139" s="27" t="inlineStr">
        <is>
          <t>Assumption from S26 hours (May to Oct, Thu to Sun, 8 to 20 seats)</t>
        </is>
      </c>
    </row>
    <row r="140">
      <c r="A140" s="23" t="inlineStr">
        <is>
          <t>Programs and events (stabilized, per year)</t>
        </is>
      </c>
      <c r="B140" s="23" t="inlineStr">
        <is>
          <t>popup_rev</t>
        </is>
      </c>
      <c r="C140" s="9" t="inlineStr">
        <is>
          <t>Stage 0 pop-up tickets and sponsors per year</t>
        </is>
      </c>
      <c r="D140" s="24" t="inlineStr">
        <is>
          <t>USD</t>
        </is>
      </c>
      <c r="E140" s="32" t="n">
        <v>30000</v>
      </c>
      <c r="F140" s="32" t="n">
        <v>60000</v>
      </c>
      <c r="G140" s="32" t="n">
        <v>120000</v>
      </c>
      <c r="H140" s="32" t="n">
        <v>30000</v>
      </c>
      <c r="I140" s="27" t="inlineStr">
        <is>
          <t>Assumption: 4 to 5 on-site pop-ups a year under S16</t>
        </is>
      </c>
    </row>
    <row r="141">
      <c r="A141" s="7" t="inlineStr">
        <is>
          <t>Contributed income (stabilized, per year)</t>
        </is>
      </c>
      <c r="B141" s="8" t="n"/>
      <c r="C141" s="8" t="n"/>
      <c r="D141" s="8" t="n"/>
      <c r="E141" s="8" t="n"/>
      <c r="F141" s="8" t="n"/>
      <c r="G141" s="8" t="n"/>
      <c r="H141" s="8" t="n"/>
      <c r="I141" s="8" t="n"/>
    </row>
    <row r="142">
      <c r="A142" s="23" t="inlineStr">
        <is>
          <t>Contributed income (stabilized, per year)</t>
        </is>
      </c>
      <c r="B142" s="23" t="inlineStr">
        <is>
          <t>patrons</t>
        </is>
      </c>
      <c r="C142" s="9" t="inlineStr">
        <is>
          <t>Patrons and founding members</t>
        </is>
      </c>
      <c r="D142" s="24" t="inlineStr">
        <is>
          <t>USD</t>
        </is>
      </c>
      <c r="E142" s="32" t="n">
        <v>300000</v>
      </c>
      <c r="F142" s="32" t="n">
        <v>500000</v>
      </c>
      <c r="G142" s="32" t="n">
        <v>900000</v>
      </c>
      <c r="H142" s="32" t="n">
        <v>300000</v>
      </c>
      <c r="I142" s="27" t="inlineStr">
        <is>
          <t>Assumption: S21 (USD 0.3 to 1.5M). For scale: MacDowell raised USD 3.35M and Yaddo USD 1.54M in FY2024 contributions (S21)</t>
        </is>
      </c>
    </row>
    <row r="143">
      <c r="A143" s="23" t="inlineStr">
        <is>
          <t>Contributed income (stabilized, per year)</t>
        </is>
      </c>
      <c r="B143" s="23" t="inlineStr">
        <is>
          <t>underwriting</t>
        </is>
      </c>
      <c r="C143" s="9" t="inlineStr">
        <is>
          <t>Underwriting per sponsored residency</t>
        </is>
      </c>
      <c r="D143" s="24" t="inlineStr">
        <is>
          <t>USD</t>
        </is>
      </c>
      <c r="E143" s="32" t="n">
        <v>20000</v>
      </c>
      <c r="F143" s="32" t="n">
        <v>30000</v>
      </c>
      <c r="G143" s="32" t="n">
        <v>45000</v>
      </c>
      <c r="H143" s="32" t="n">
        <v>20000</v>
      </c>
      <c r="I143" s="27" t="inlineStr">
        <is>
          <t>Assumption: S21 (USD 25k to 60k per residency)</t>
        </is>
      </c>
    </row>
    <row r="144">
      <c r="A144" s="23" t="inlineStr">
        <is>
          <t>Contributed income (stabilized, per year)</t>
        </is>
      </c>
      <c r="B144" s="23" t="inlineStr">
        <is>
          <t>partners</t>
        </is>
      </c>
      <c r="C144" s="9" t="inlineStr">
        <is>
          <t>Brand and gear partners (cash)</t>
        </is>
      </c>
      <c r="D144" s="24" t="inlineStr">
        <is>
          <t>USD</t>
        </is>
      </c>
      <c r="E144" s="32" t="n">
        <v>100000</v>
      </c>
      <c r="F144" s="32" t="n">
        <v>250000</v>
      </c>
      <c r="G144" s="32" t="n">
        <v>500000</v>
      </c>
      <c r="H144" s="32" t="n">
        <v>100000</v>
      </c>
      <c r="I144" s="27" t="inlineStr">
        <is>
          <t>Assumption: S21 (2 to 6 partners at USD 50k to 150k)</t>
        </is>
      </c>
    </row>
    <row r="145">
      <c r="A145" s="23" t="inlineStr">
        <is>
          <t>Contributed income (stabilized, per year)</t>
        </is>
      </c>
      <c r="B145" s="23" t="inlineStr">
        <is>
          <t>grants</t>
        </is>
      </c>
      <c r="C145" s="9" t="inlineStr">
        <is>
          <t>Grants (nonprofit arm or fiscal sponsor only)</t>
        </is>
      </c>
      <c r="D145" s="24" t="inlineStr">
        <is>
          <t>USD</t>
        </is>
      </c>
      <c r="E145" s="32" t="n">
        <v>75000</v>
      </c>
      <c r="F145" s="32" t="n">
        <v>150000</v>
      </c>
      <c r="G145" s="32" t="n">
        <v>350000</v>
      </c>
      <c r="H145" s="32" t="n">
        <v>75000</v>
      </c>
      <c r="I145" s="27" t="inlineStr">
        <is>
          <t>Assumption: S21 (USD 0.05 to 0.5M)</t>
        </is>
      </c>
    </row>
    <row r="146">
      <c r="A146" s="7" t="inlineStr">
        <is>
          <t>Ramp-up</t>
        </is>
      </c>
      <c r="B146" s="8" t="n"/>
      <c r="C146" s="8" t="n"/>
      <c r="D146" s="8" t="n"/>
      <c r="E146" s="8" t="n"/>
      <c r="F146" s="8" t="n"/>
      <c r="G146" s="8" t="n"/>
      <c r="H146" s="8" t="n"/>
      <c r="I146" s="8" t="n"/>
    </row>
    <row r="147">
      <c r="A147" s="23" t="inlineStr">
        <is>
          <t>Ramp-up</t>
        </is>
      </c>
      <c r="B147" s="23" t="inlineStr">
        <is>
          <t>ramp_y1</t>
        </is>
      </c>
      <c r="C147" s="9" t="inlineStr">
        <is>
          <t>Demand ramp, operating year 1</t>
        </is>
      </c>
      <c r="D147" s="24" t="inlineStr">
        <is>
          <t>share</t>
        </is>
      </c>
      <c r="E147" s="28" t="n">
        <v>0.6</v>
      </c>
      <c r="F147" s="28" t="n">
        <v>0.6</v>
      </c>
      <c r="G147" s="28" t="n">
        <v>0.6</v>
      </c>
      <c r="H147" s="28" t="n">
        <v>0.5</v>
      </c>
      <c r="I147" s="27" t="inlineStr">
        <is>
          <t>Assumption</t>
        </is>
      </c>
    </row>
    <row r="148">
      <c r="A148" s="23" t="inlineStr">
        <is>
          <t>Ramp-up</t>
        </is>
      </c>
      <c r="B148" s="23" t="inlineStr">
        <is>
          <t>ramp_y2</t>
        </is>
      </c>
      <c r="C148" s="9" t="inlineStr">
        <is>
          <t>Demand ramp, operating year 2</t>
        </is>
      </c>
      <c r="D148" s="24" t="inlineStr">
        <is>
          <t>share</t>
        </is>
      </c>
      <c r="E148" s="28" t="n">
        <v>0.8</v>
      </c>
      <c r="F148" s="28" t="n">
        <v>0.8</v>
      </c>
      <c r="G148" s="28" t="n">
        <v>0.8</v>
      </c>
      <c r="H148" s="28" t="n">
        <v>0.7</v>
      </c>
      <c r="I148" s="27" t="inlineStr">
        <is>
          <t>Assumption</t>
        </is>
      </c>
    </row>
    <row r="149">
      <c r="A149" s="23" t="inlineStr">
        <is>
          <t>Ramp-up</t>
        </is>
      </c>
      <c r="B149" s="23" t="inlineStr">
        <is>
          <t>ramp_y3</t>
        </is>
      </c>
      <c r="C149" s="9" t="inlineStr">
        <is>
          <t>Demand ramp, operating year 3</t>
        </is>
      </c>
      <c r="D149" s="24" t="inlineStr">
        <is>
          <t>share</t>
        </is>
      </c>
      <c r="E149" s="28" t="n">
        <v>0.9</v>
      </c>
      <c r="F149" s="28" t="n">
        <v>0.9</v>
      </c>
      <c r="G149" s="28" t="n">
        <v>0.9</v>
      </c>
      <c r="H149" s="28" t="n">
        <v>0.85</v>
      </c>
      <c r="I149" s="27" t="inlineStr">
        <is>
          <t>Assumption</t>
        </is>
      </c>
    </row>
    <row r="150">
      <c r="A150" s="23" t="inlineStr">
        <is>
          <t>Ramp-up</t>
        </is>
      </c>
      <c r="B150" s="23" t="inlineStr">
        <is>
          <t>ramp_y4</t>
        </is>
      </c>
      <c r="C150" s="9" t="inlineStr">
        <is>
          <t>Demand ramp, operating year 4 and later</t>
        </is>
      </c>
      <c r="D150" s="24" t="inlineStr">
        <is>
          <t>share</t>
        </is>
      </c>
      <c r="E150" s="28" t="n">
        <v>1</v>
      </c>
      <c r="F150" s="28" t="n">
        <v>1</v>
      </c>
      <c r="G150" s="28" t="n">
        <v>1</v>
      </c>
      <c r="H150" s="29">
        <f>F150</f>
        <v/>
      </c>
      <c r="I150" s="27" t="inlineStr">
        <is>
          <t>Assumption</t>
        </is>
      </c>
    </row>
    <row r="151">
      <c r="A151" s="23" t="inlineStr">
        <is>
          <t>Ramp-up</t>
        </is>
      </c>
      <c r="B151" s="23" t="inlineStr">
        <is>
          <t>cramp_pre</t>
        </is>
      </c>
      <c r="C151" s="9" t="inlineStr">
        <is>
          <t>Contributed income before opening (share of stabilized)</t>
        </is>
      </c>
      <c r="D151" s="24" t="inlineStr">
        <is>
          <t>share</t>
        </is>
      </c>
      <c r="E151" s="28" t="n">
        <v>0.25</v>
      </c>
      <c r="F151" s="28" t="n">
        <v>0.25</v>
      </c>
      <c r="G151" s="28" t="n">
        <v>0.25</v>
      </c>
      <c r="H151" s="28" t="n">
        <v>0.2</v>
      </c>
      <c r="I151" s="27" t="inlineStr">
        <is>
          <t>Assumption: founding patrons from 2027</t>
        </is>
      </c>
    </row>
    <row r="152">
      <c r="A152" s="23" t="inlineStr">
        <is>
          <t>Ramp-up</t>
        </is>
      </c>
      <c r="B152" s="23" t="inlineStr">
        <is>
          <t>cramp_y1</t>
        </is>
      </c>
      <c r="C152" s="9" t="inlineStr">
        <is>
          <t>Contributed ramp, operating year 1</t>
        </is>
      </c>
      <c r="D152" s="24" t="inlineStr">
        <is>
          <t>share</t>
        </is>
      </c>
      <c r="E152" s="28" t="n">
        <v>0.6</v>
      </c>
      <c r="F152" s="28" t="n">
        <v>0.6</v>
      </c>
      <c r="G152" s="28" t="n">
        <v>0.6</v>
      </c>
      <c r="H152" s="28" t="n">
        <v>0.5</v>
      </c>
      <c r="I152" s="27" t="inlineStr">
        <is>
          <t>Assumption</t>
        </is>
      </c>
    </row>
    <row r="153">
      <c r="A153" s="23" t="inlineStr">
        <is>
          <t>Ramp-up</t>
        </is>
      </c>
      <c r="B153" s="23" t="inlineStr">
        <is>
          <t>cramp_y2</t>
        </is>
      </c>
      <c r="C153" s="9" t="inlineStr">
        <is>
          <t>Contributed ramp, operating year 2</t>
        </is>
      </c>
      <c r="D153" s="24" t="inlineStr">
        <is>
          <t>share</t>
        </is>
      </c>
      <c r="E153" s="28" t="n">
        <v>0.8</v>
      </c>
      <c r="F153" s="28" t="n">
        <v>0.8</v>
      </c>
      <c r="G153" s="28" t="n">
        <v>0.8</v>
      </c>
      <c r="H153" s="28" t="n">
        <v>0.7</v>
      </c>
      <c r="I153" s="27" t="inlineStr">
        <is>
          <t>Assumption</t>
        </is>
      </c>
    </row>
    <row r="154">
      <c r="A154" s="23" t="inlineStr">
        <is>
          <t>Ramp-up</t>
        </is>
      </c>
      <c r="B154" s="23" t="inlineStr">
        <is>
          <t>cramp_y3</t>
        </is>
      </c>
      <c r="C154" s="9" t="inlineStr">
        <is>
          <t>Contributed ramp, operating year 3</t>
        </is>
      </c>
      <c r="D154" s="24" t="inlineStr">
        <is>
          <t>share</t>
        </is>
      </c>
      <c r="E154" s="28" t="n">
        <v>0.9</v>
      </c>
      <c r="F154" s="28" t="n">
        <v>0.9</v>
      </c>
      <c r="G154" s="28" t="n">
        <v>0.9</v>
      </c>
      <c r="H154" s="28" t="n">
        <v>0.85</v>
      </c>
      <c r="I154" s="27" t="inlineStr">
        <is>
          <t>Assumption</t>
        </is>
      </c>
    </row>
    <row r="155">
      <c r="A155" s="23" t="inlineStr">
        <is>
          <t>Ramp-up</t>
        </is>
      </c>
      <c r="B155" s="23" t="inlineStr">
        <is>
          <t>cramp_y4</t>
        </is>
      </c>
      <c r="C155" s="9" t="inlineStr">
        <is>
          <t>Contributed ramp, operating year 4 and later</t>
        </is>
      </c>
      <c r="D155" s="24" t="inlineStr">
        <is>
          <t>share</t>
        </is>
      </c>
      <c r="E155" s="28" t="n">
        <v>1</v>
      </c>
      <c r="F155" s="28" t="n">
        <v>1</v>
      </c>
      <c r="G155" s="28" t="n">
        <v>1</v>
      </c>
      <c r="H155" s="29">
        <f>F155</f>
        <v/>
      </c>
      <c r="I155" s="27" t="inlineStr">
        <is>
          <t>Assumption</t>
        </is>
      </c>
    </row>
    <row r="156">
      <c r="A156" s="7" t="inlineStr">
        <is>
          <t>Program costs</t>
        </is>
      </c>
      <c r="B156" s="8" t="n"/>
      <c r="C156" s="8" t="n"/>
      <c r="D156" s="8" t="n"/>
      <c r="E156" s="8" t="n"/>
      <c r="F156" s="8" t="n"/>
      <c r="G156" s="8" t="n"/>
      <c r="H156" s="8" t="n"/>
      <c r="I156" s="8" t="n"/>
    </row>
    <row r="157">
      <c r="A157" s="23" t="inlineStr">
        <is>
          <t>Program costs</t>
        </is>
      </c>
      <c r="B157" s="23" t="inlineStr">
        <is>
          <t>artist_fee</t>
        </is>
      </c>
      <c r="C157" s="9" t="inlineStr">
        <is>
          <t>Artist fee per residency (average of three tiers)</t>
        </is>
      </c>
      <c r="D157" s="24" t="inlineStr">
        <is>
          <t>USD</t>
        </is>
      </c>
      <c r="E157" s="32" t="n">
        <v>15000</v>
      </c>
      <c r="F157" s="32" t="n">
        <v>25000</v>
      </c>
      <c r="G157" s="32" t="n">
        <v>35000</v>
      </c>
      <c r="H157" s="33">
        <f>F157</f>
        <v/>
      </c>
      <c r="I157" s="27" t="inlineStr">
        <is>
          <t>Assumption: S25 (tiers USD 5k to 75k; 8 residencies USD 140k to 270k)</t>
        </is>
      </c>
    </row>
    <row r="158">
      <c r="A158" s="23" t="inlineStr">
        <is>
          <t>Program costs</t>
        </is>
      </c>
      <c r="B158" s="23" t="inlineStr">
        <is>
          <t>artist_travel</t>
        </is>
      </c>
      <c r="C158" s="9" t="inlineStr">
        <is>
          <t>Travel, visas, freight per residency</t>
        </is>
      </c>
      <c r="D158" s="24" t="inlineStr">
        <is>
          <t>USD</t>
        </is>
      </c>
      <c r="E158" s="32" t="n">
        <v>5000</v>
      </c>
      <c r="F158" s="32" t="n">
        <v>8000</v>
      </c>
      <c r="G158" s="32" t="n">
        <v>12000</v>
      </c>
      <c r="H158" s="33">
        <f>F158</f>
        <v/>
      </c>
      <c r="I158" s="27" t="inlineStr">
        <is>
          <t>Assumption: S25 (USD 32k to 120k for 8)</t>
        </is>
      </c>
    </row>
    <row r="159">
      <c r="A159" s="23" t="inlineStr">
        <is>
          <t>Program costs</t>
        </is>
      </c>
      <c r="B159" s="23" t="inlineStr">
        <is>
          <t>studio_support</t>
        </is>
      </c>
      <c r="C159" s="9" t="inlineStr">
        <is>
          <t>Studio support, tuner, backline per residency</t>
        </is>
      </c>
      <c r="D159" s="24" t="inlineStr">
        <is>
          <t>USD</t>
        </is>
      </c>
      <c r="E159" s="32" t="n">
        <v>3000</v>
      </c>
      <c r="F159" s="32" t="n">
        <v>6000</v>
      </c>
      <c r="G159" s="32" t="n">
        <v>8000</v>
      </c>
      <c r="H159" s="33">
        <f>F159</f>
        <v/>
      </c>
      <c r="I159" s="27" t="inlineStr">
        <is>
          <t>Assumption: S25 (USD 24k to 80k for 8)</t>
        </is>
      </c>
    </row>
    <row r="160">
      <c r="A160" s="23" t="inlineStr">
        <is>
          <t>Program costs</t>
        </is>
      </c>
      <c r="B160" s="23" t="inlineStr">
        <is>
          <t>premiere_film</t>
        </is>
      </c>
      <c r="C160" s="9" t="inlineStr">
        <is>
          <t>Performance film per residency</t>
        </is>
      </c>
      <c r="D160" s="24" t="inlineStr">
        <is>
          <t>USD</t>
        </is>
      </c>
      <c r="E160" s="32" t="n">
        <v>10000</v>
      </c>
      <c r="F160" s="32" t="n">
        <v>20000</v>
      </c>
      <c r="G160" s="32" t="n">
        <v>35000</v>
      </c>
      <c r="H160" s="33">
        <f>F160</f>
        <v/>
      </c>
      <c r="I160" s="27" t="inlineStr">
        <is>
          <t>Assumption: S25 (USD 10k to 45k per film)</t>
        </is>
      </c>
    </row>
    <row r="161">
      <c r="A161" s="23" t="inlineStr">
        <is>
          <t>Program costs</t>
        </is>
      </c>
      <c r="B161" s="23" t="inlineStr">
        <is>
          <t>resident_meals</t>
        </is>
      </c>
      <c r="C161" s="9" t="inlineStr">
        <is>
          <t>Residents’ food per residency</t>
        </is>
      </c>
      <c r="D161" s="24" t="inlineStr">
        <is>
          <t>USD</t>
        </is>
      </c>
      <c r="E161" s="32" t="n">
        <v>3000</v>
      </c>
      <c r="F161" s="32" t="n">
        <v>4500</v>
      </c>
      <c r="G161" s="32" t="n">
        <v>6000</v>
      </c>
      <c r="H161" s="33">
        <f>F161</f>
        <v/>
      </c>
      <c r="I161" s="27" t="inlineStr">
        <is>
          <t>Assumption (food only; cooking sits in contract services)</t>
        </is>
      </c>
    </row>
    <row r="162">
      <c r="A162" s="23" t="inlineStr">
        <is>
          <t>Program costs</t>
        </is>
      </c>
      <c r="B162" s="23" t="inlineStr">
        <is>
          <t>premiere_cost</t>
        </is>
      </c>
      <c r="C162" s="9" t="inlineStr">
        <is>
          <t>Production cost per performance</t>
        </is>
      </c>
      <c r="D162" s="24" t="inlineStr">
        <is>
          <t>USD</t>
        </is>
      </c>
      <c r="E162" s="32" t="n">
        <v>6000</v>
      </c>
      <c r="F162" s="32" t="n">
        <v>10000</v>
      </c>
      <c r="G162" s="32" t="n">
        <v>18000</v>
      </c>
      <c r="H162" s="32" t="n">
        <v>12000</v>
      </c>
      <c r="I162" s="27" t="inlineStr">
        <is>
          <t>Assumption: S25 (7 premieres USD 56k to 175k)</t>
        </is>
      </c>
    </row>
    <row r="163">
      <c r="A163" s="23" t="inlineStr">
        <is>
          <t>Program costs</t>
        </is>
      </c>
      <c r="B163" s="23" t="inlineStr">
        <is>
          <t>programme_fixed</t>
        </is>
      </c>
      <c r="C163" s="9" t="inlineStr">
        <is>
          <t>Program fixed costs (content, honoraria, showcases, access fund)</t>
        </is>
      </c>
      <c r="D163" s="24" t="inlineStr">
        <is>
          <t>USD</t>
        </is>
      </c>
      <c r="E163" s="32" t="n">
        <v>60000</v>
      </c>
      <c r="F163" s="32" t="n">
        <v>110000</v>
      </c>
      <c r="G163" s="32" t="n">
        <v>250000</v>
      </c>
      <c r="H163" s="33">
        <f>F163</f>
        <v/>
      </c>
      <c r="I163" s="27" t="inlineStr">
        <is>
          <t>Assumption: S25 (about USD 85k to 325k)</t>
        </is>
      </c>
    </row>
    <row r="164">
      <c r="A164" s="23" t="inlineStr">
        <is>
          <t>Program costs</t>
        </is>
      </c>
      <c r="B164" s="23" t="inlineStr">
        <is>
          <t>gallery_ops</t>
        </is>
      </c>
      <c r="C164" s="9" t="inlineStr">
        <is>
          <t>Gallery program and conservation (excl. staff)</t>
        </is>
      </c>
      <c r="D164" s="24" t="inlineStr">
        <is>
          <t>USD</t>
        </is>
      </c>
      <c r="E164" s="32" t="n">
        <v>40000</v>
      </c>
      <c r="F164" s="32" t="n">
        <v>70000</v>
      </c>
      <c r="G164" s="32" t="n">
        <v>150000</v>
      </c>
      <c r="H164" s="33">
        <f>F164</f>
        <v/>
      </c>
      <c r="I164" s="27" t="inlineStr">
        <is>
          <t>Assumption: S26 (USD 105k to 340k including staff)</t>
        </is>
      </c>
    </row>
    <row r="165">
      <c r="A165" s="23" t="inlineStr">
        <is>
          <t>Program costs</t>
        </is>
      </c>
      <c r="B165" s="23" t="inlineStr">
        <is>
          <t>pilot_cost</t>
        </is>
      </c>
      <c r="C165" s="9" t="inlineStr">
        <is>
          <t>Stage 0 pilot program per year (pilot residencies, pop-ups)</t>
        </is>
      </c>
      <c r="D165" s="24" t="inlineStr">
        <is>
          <t>USD</t>
        </is>
      </c>
      <c r="E165" s="32" t="n">
        <v>150000</v>
      </c>
      <c r="F165" s="32" t="n">
        <v>250000</v>
      </c>
      <c r="G165" s="32" t="n">
        <v>400000</v>
      </c>
      <c r="H165" s="33">
        <f>F165</f>
        <v/>
      </c>
      <c r="I165" s="27" t="inlineStr">
        <is>
          <t>Assumption: S25 (year-zero pilot USD 160k to 530k)</t>
        </is>
      </c>
    </row>
    <row r="166">
      <c r="A166" s="7" t="inlineStr">
        <is>
          <t>Operating costs</t>
        </is>
      </c>
      <c r="B166" s="8" t="n"/>
      <c r="C166" s="8" t="n"/>
      <c r="D166" s="8" t="n"/>
      <c r="E166" s="8" t="n"/>
      <c r="F166" s="8" t="n"/>
      <c r="G166" s="8" t="n"/>
      <c r="H166" s="8" t="n"/>
      <c r="I166" s="8" t="n"/>
    </row>
    <row r="167">
      <c r="A167" s="23" t="inlineStr">
        <is>
          <t>Operating costs</t>
        </is>
      </c>
      <c r="B167" s="23" t="inlineStr">
        <is>
          <t>load_factor</t>
        </is>
      </c>
      <c r="C167" s="9" t="inlineStr">
        <is>
          <t>Payroll load (taxes, workers comp, health, leave)</t>
        </is>
      </c>
      <c r="D167" s="24" t="inlineStr">
        <is>
          <t>x</t>
        </is>
      </c>
      <c r="E167" s="36" t="n">
        <v>1.3</v>
      </c>
      <c r="F167" s="36" t="n">
        <v>1.3</v>
      </c>
      <c r="G167" s="36" t="n">
        <v>1.3</v>
      </c>
      <c r="H167" s="36" t="n">
        <v>1.35</v>
      </c>
      <c r="I167" s="27" t="inlineStr">
        <is>
          <t>Assumption (the NY hospitality model used 1.25, S24)</t>
        </is>
      </c>
    </row>
    <row r="168">
      <c r="A168" s="23" t="inlineStr">
        <is>
          <t>Operating costs</t>
        </is>
      </c>
      <c r="B168" s="23" t="inlineStr">
        <is>
          <t>contract_services</t>
        </is>
      </c>
      <c r="C168" s="9" t="inlineStr">
        <is>
          <t>Contract services for programs and events: chefs and kitchen help, studio engineers, live sound, extra housekeeping on changeover days</t>
        </is>
      </c>
      <c r="D168" s="24" t="inlineStr">
        <is>
          <t>USD</t>
        </is>
      </c>
      <c r="E168" s="32" t="n">
        <v>150000</v>
      </c>
      <c r="F168" s="32" t="n">
        <v>250000</v>
      </c>
      <c r="G168" s="32" t="n">
        <v>350000</v>
      </c>
      <c r="H168" s="32" t="n">
        <v>300000</v>
      </c>
      <c r="I168" s="27" t="inlineStr">
        <is>
          <t>Assumption: covers the work the 14 Oct 2026 roster leaves to contractors (no chef, cook, studio engineer, live sound technician or second housekeeper on payroll). From Phase 1</t>
        </is>
      </c>
    </row>
    <row r="169">
      <c r="A169" s="23" t="inlineStr">
        <is>
          <t>Operating costs</t>
        </is>
      </c>
      <c r="B169" s="23" t="inlineStr">
        <is>
          <t>retreat_prog_share</t>
        </is>
      </c>
      <c r="C169" s="9" t="inlineStr">
        <is>
          <t>Retreat facilitators and program costs (share of the all-in retreat price)</t>
        </is>
      </c>
      <c r="D169" s="24" t="inlineStr">
        <is>
          <t>share</t>
        </is>
      </c>
      <c r="E169" s="28" t="n">
        <v>0.2</v>
      </c>
      <c r="F169" s="28" t="n">
        <v>0.2</v>
      </c>
      <c r="G169" s="28" t="n">
        <v>0.2</v>
      </c>
      <c r="H169" s="28" t="n">
        <v>0.25</v>
      </c>
      <c r="I169" s="27" t="inlineStr">
        <is>
          <t>Assumption: teachers, facilitators and materials; retreat food is costed separately</t>
        </is>
      </c>
    </row>
    <row r="170">
      <c r="A170" s="23" t="inlineStr">
        <is>
          <t>Operating costs</t>
        </is>
      </c>
      <c r="B170" s="23" t="inlineStr">
        <is>
          <t>weekend_direct</t>
        </is>
      </c>
      <c r="C170" s="9" t="inlineStr">
        <is>
          <t>Program weekend facilitators and direct costs (share of weekend fees)</t>
        </is>
      </c>
      <c r="D170" s="24" t="inlineStr">
        <is>
          <t>share</t>
        </is>
      </c>
      <c r="E170" s="28" t="n">
        <v>0.35</v>
      </c>
      <c r="F170" s="28" t="n">
        <v>0.35</v>
      </c>
      <c r="G170" s="28" t="n">
        <v>0.35</v>
      </c>
      <c r="H170" s="28" t="n">
        <v>0.4</v>
      </c>
      <c r="I170" s="27" t="inlineStr">
        <is>
          <t>Assumption</t>
        </is>
      </c>
    </row>
    <row r="171">
      <c r="A171" s="23" t="inlineStr">
        <is>
          <t>Operating costs</t>
        </is>
      </c>
      <c r="B171" s="23" t="inlineStr">
        <is>
          <t>takeover_direct</t>
        </is>
      </c>
      <c r="C171" s="9" t="inlineStr">
        <is>
          <t>Takeover event costs (share of site fees)</t>
        </is>
      </c>
      <c r="D171" s="24" t="inlineStr">
        <is>
          <t>share</t>
        </is>
      </c>
      <c r="E171" s="28" t="n">
        <v>0.3</v>
      </c>
      <c r="F171" s="28" t="n">
        <v>0.3</v>
      </c>
      <c r="G171" s="28" t="n">
        <v>0.3</v>
      </c>
      <c r="H171" s="28" t="n">
        <v>0.35</v>
      </c>
      <c r="I171" s="27" t="inlineStr">
        <is>
          <t>Assumption: crew, security, shuttles, sanitation</t>
        </is>
      </c>
    </row>
    <row r="172">
      <c r="A172" s="23" t="inlineStr">
        <is>
          <t>Operating costs</t>
        </is>
      </c>
      <c r="B172" s="23" t="inlineStr">
        <is>
          <t>workshop_direct</t>
        </is>
      </c>
      <c r="C172" s="9" t="inlineStr">
        <is>
          <t>Workshop teachers and materials (share of revenue)</t>
        </is>
      </c>
      <c r="D172" s="24" t="inlineStr">
        <is>
          <t>share</t>
        </is>
      </c>
      <c r="E172" s="28" t="n">
        <v>0.4</v>
      </c>
      <c r="F172" s="28" t="n">
        <v>0.4</v>
      </c>
      <c r="G172" s="28" t="n">
        <v>0.4</v>
      </c>
      <c r="H172" s="29">
        <f>F172</f>
        <v/>
      </c>
      <c r="I172" s="27" t="inlineStr">
        <is>
          <t>Assumption</t>
        </is>
      </c>
    </row>
    <row r="173">
      <c r="A173" s="23" t="inlineStr">
        <is>
          <t>Operating costs</t>
        </is>
      </c>
      <c r="B173" s="23" t="inlineStr">
        <is>
          <t>fb_cogs</t>
        </is>
      </c>
      <c r="C173" s="9" t="inlineStr">
        <is>
          <t>Food and beverage cost of sales (share of F&amp;B revenue)</t>
        </is>
      </c>
      <c r="D173" s="24" t="inlineStr">
        <is>
          <t>share</t>
        </is>
      </c>
      <c r="E173" s="28" t="n">
        <v>0.35</v>
      </c>
      <c r="F173" s="28" t="n">
        <v>0.35</v>
      </c>
      <c r="G173" s="28" t="n">
        <v>0.35</v>
      </c>
      <c r="H173" s="28" t="n">
        <v>0.38</v>
      </c>
      <c r="I173" s="27" t="inlineStr">
        <is>
          <t>Assumption</t>
        </is>
      </c>
    </row>
    <row r="174">
      <c r="A174" s="23" t="inlineStr">
        <is>
          <t>Operating costs</t>
        </is>
      </c>
      <c r="B174" s="23" t="inlineStr">
        <is>
          <t>supplies_per_night</t>
        </is>
      </c>
      <c r="C174" s="9" t="inlineStr">
        <is>
          <t>Cabin supplies, linens, laundry per occupied night</t>
        </is>
      </c>
      <c r="D174" s="24" t="inlineStr">
        <is>
          <t>USD</t>
        </is>
      </c>
      <c r="E174" s="32" t="n">
        <v>35</v>
      </c>
      <c r="F174" s="32" t="n">
        <v>35</v>
      </c>
      <c r="G174" s="32" t="n">
        <v>35</v>
      </c>
      <c r="H174" s="32" t="n">
        <v>45</v>
      </c>
      <c r="I174" s="27" t="inlineStr">
        <is>
          <t>Assumption</t>
        </is>
      </c>
    </row>
    <row r="175">
      <c r="A175" s="23" t="inlineStr">
        <is>
          <t>Operating costs</t>
        </is>
      </c>
      <c r="B175" s="23" t="inlineStr">
        <is>
          <t>util_p1</t>
        </is>
      </c>
      <c r="C175" s="9" t="inlineStr">
        <is>
          <t>Utilities, Phase 1</t>
        </is>
      </c>
      <c r="D175" s="24" t="inlineStr">
        <is>
          <t>USD</t>
        </is>
      </c>
      <c r="E175" s="32" t="n">
        <v>50000</v>
      </c>
      <c r="F175" s="32" t="n">
        <v>60000</v>
      </c>
      <c r="G175" s="32" t="n">
        <v>80000</v>
      </c>
      <c r="H175" s="32" t="n">
        <v>75000</v>
      </c>
      <c r="I175" s="27" t="inlineStr">
        <is>
          <t>Assumption; S21 (USD 60k to 200k at full build); PV and battery per S06</t>
        </is>
      </c>
    </row>
    <row r="176">
      <c r="A176" s="23" t="inlineStr">
        <is>
          <t>Operating costs</t>
        </is>
      </c>
      <c r="B176" s="23" t="inlineStr">
        <is>
          <t>util_p2</t>
        </is>
      </c>
      <c r="C176" s="9" t="inlineStr">
        <is>
          <t>Utilities added with Phase 2</t>
        </is>
      </c>
      <c r="D176" s="24" t="inlineStr">
        <is>
          <t>USD</t>
        </is>
      </c>
      <c r="E176" s="32" t="n">
        <v>30000</v>
      </c>
      <c r="F176" s="32" t="n">
        <v>45000</v>
      </c>
      <c r="G176" s="32" t="n">
        <v>70000</v>
      </c>
      <c r="H176" s="32" t="n">
        <v>56250</v>
      </c>
      <c r="I176" s="27" t="inlineStr">
        <is>
          <t>Assumption</t>
        </is>
      </c>
    </row>
    <row r="177">
      <c r="A177" s="23" t="inlineStr">
        <is>
          <t>Operating costs</t>
        </is>
      </c>
      <c r="B177" s="23" t="inlineStr">
        <is>
          <t>util_p3</t>
        </is>
      </c>
      <c r="C177" s="9" t="inlineStr">
        <is>
          <t>Utilities added with Phase 3</t>
        </is>
      </c>
      <c r="D177" s="24" t="inlineStr">
        <is>
          <t>USD</t>
        </is>
      </c>
      <c r="E177" s="32" t="n">
        <v>15000</v>
      </c>
      <c r="F177" s="32" t="n">
        <v>25000</v>
      </c>
      <c r="G177" s="32" t="n">
        <v>40000</v>
      </c>
      <c r="H177" s="32" t="n">
        <v>31250</v>
      </c>
      <c r="I177" s="27" t="inlineStr">
        <is>
          <t>Assumption</t>
        </is>
      </c>
    </row>
    <row r="178">
      <c r="A178" s="23" t="inlineStr">
        <is>
          <t>Operating costs</t>
        </is>
      </c>
      <c r="B178" s="23" t="inlineStr">
        <is>
          <t>maint_pct</t>
        </is>
      </c>
      <c r="C178" s="9" t="inlineStr">
        <is>
          <t>Repairs and maintenance (share of replacement value)</t>
        </is>
      </c>
      <c r="D178" s="24" t="inlineStr">
        <is>
          <t>share</t>
        </is>
      </c>
      <c r="E178" s="28" t="n">
        <v>0.0125</v>
      </c>
      <c r="F178" s="28" t="n">
        <v>0.0125</v>
      </c>
      <c r="G178" s="28" t="n">
        <v>0.0125</v>
      </c>
      <c r="H178" s="28" t="n">
        <v>0.02</v>
      </c>
      <c r="I178" s="27" t="inlineStr">
        <is>
          <t>Assumption: S21: 1 to 2% of replacement value</t>
        </is>
      </c>
    </row>
    <row r="179">
      <c r="A179" s="23" t="inlineStr">
        <is>
          <t>Operating costs</t>
        </is>
      </c>
      <c r="B179" s="23" t="inlineStr">
        <is>
          <t>ins_rate</t>
        </is>
      </c>
      <c r="C179" s="9" t="inlineStr">
        <is>
          <t>Property and wildfire insurance (share of replacement value)</t>
        </is>
      </c>
      <c r="D179" s="24" t="inlineStr">
        <is>
          <t>share</t>
        </is>
      </c>
      <c r="E179" s="28" t="n">
        <v>0.0125</v>
      </c>
      <c r="F179" s="28" t="n">
        <v>0.0125</v>
      </c>
      <c r="G179" s="28" t="n">
        <v>0.0125</v>
      </c>
      <c r="H179" s="28" t="n">
        <v>0.025</v>
      </c>
      <c r="I179" s="27" t="inlineStr">
        <is>
          <t>Assumption for a very high fire hazard zone (most Ojai hillsides, S28): FAIR Plan fire cover plus difference-in-conditions. S18: FAIR Plan commercial limits USD 20M per building and USD 100M per location; commercial premiums up over 18%; a hotel in a very high fire zone saw its renewal triple; FAIR Plan homeowner rates +29.1% from Oct 15, 2026. Broker quote needed</t>
        </is>
      </c>
    </row>
    <row r="180">
      <c r="A180" s="23" t="inlineStr">
        <is>
          <t>Operating costs</t>
        </is>
      </c>
      <c r="B180" s="23" t="inlineStr">
        <is>
          <t>liability</t>
        </is>
      </c>
      <c r="C180" s="9" t="inlineStr">
        <is>
          <t>Liability, liquor, event, D&amp;O and umbrella insurance</t>
        </is>
      </c>
      <c r="D180" s="24" t="inlineStr">
        <is>
          <t>USD</t>
        </is>
      </c>
      <c r="E180" s="32" t="n">
        <v>80000</v>
      </c>
      <c r="F180" s="32" t="n">
        <v>100000</v>
      </c>
      <c r="G180" s="32" t="n">
        <v>130000</v>
      </c>
      <c r="H180" s="32" t="n">
        <v>150000</v>
      </c>
      <c r="I180" s="27" t="inlineStr">
        <is>
          <t>Assumption</t>
        </is>
      </c>
    </row>
    <row r="181">
      <c r="A181" s="23" t="inlineStr">
        <is>
          <t>Operating costs</t>
        </is>
      </c>
      <c r="B181" s="23" t="inlineStr">
        <is>
          <t>preopen_ins</t>
        </is>
      </c>
      <c r="C181" s="9" t="inlineStr">
        <is>
          <t>Insurance before opening (land, liability)</t>
        </is>
      </c>
      <c r="D181" s="24" t="inlineStr">
        <is>
          <t>USD</t>
        </is>
      </c>
      <c r="E181" s="32" t="n">
        <v>25000</v>
      </c>
      <c r="F181" s="32" t="n">
        <v>25000</v>
      </c>
      <c r="G181" s="32" t="n">
        <v>25000</v>
      </c>
      <c r="H181" s="33">
        <f>F181</f>
        <v/>
      </c>
      <c r="I181" s="27" t="inlineStr">
        <is>
          <t>Assumption</t>
        </is>
      </c>
    </row>
    <row r="182">
      <c r="A182" s="23" t="inlineStr">
        <is>
          <t>Operating costs</t>
        </is>
      </c>
      <c r="B182" s="23" t="inlineStr">
        <is>
          <t>ptax_rate</t>
        </is>
      </c>
      <c r="C182" s="9" t="inlineStr">
        <is>
          <t>Property tax rate (Prop 13 1% plus voter-approved debt)</t>
        </is>
      </c>
      <c r="D182" s="24" t="inlineStr">
        <is>
          <t>share</t>
        </is>
      </c>
      <c r="E182" s="28" t="n">
        <v>0.01087</v>
      </c>
      <c r="F182" s="28" t="n">
        <v>0.01087</v>
      </c>
      <c r="G182" s="28" t="n">
        <v>0.01087</v>
      </c>
      <c r="H182" s="28" t="n">
        <v>0.011</v>
      </c>
      <c r="I182" s="27" t="inlineStr">
        <is>
          <t>Research S08, S28: 1.0826 to 1.0866% in the Ojai Unified tax rate areas for 2025-26; confirm the parcel</t>
        </is>
      </c>
    </row>
    <row r="183">
      <c r="A183" s="23" t="inlineStr">
        <is>
          <t>Operating costs</t>
        </is>
      </c>
      <c r="B183" s="23" t="inlineStr">
        <is>
          <t>ptax_fixed</t>
        </is>
      </c>
      <c r="C183" s="9" t="inlineStr">
        <is>
          <t>Fixed charges and direct assessments on the tax bill</t>
        </is>
      </c>
      <c r="D183" s="24" t="inlineStr">
        <is>
          <t>USD</t>
        </is>
      </c>
      <c r="E183" s="32" t="n">
        <v>10000</v>
      </c>
      <c r="F183" s="32" t="n">
        <v>10000</v>
      </c>
      <c r="G183" s="32" t="n">
        <v>10000</v>
      </c>
      <c r="H183" s="32" t="n">
        <v>20000</v>
      </c>
      <c r="I183" s="27" t="inlineStr">
        <is>
          <t>Assumption: read the seller’s bill (S28)</t>
        </is>
      </c>
    </row>
    <row r="184">
      <c r="A184" s="23" t="inlineStr">
        <is>
          <t>Operating costs</t>
        </is>
      </c>
      <c r="B184" s="23" t="inlineStr">
        <is>
          <t>ptax_exempt</t>
        </is>
      </c>
      <c r="C184" s="9" t="inlineStr">
        <is>
          <t>Share of assessed value exempt (welfare exemption)</t>
        </is>
      </c>
      <c r="D184" s="24" t="inlineStr">
        <is>
          <t>share</t>
        </is>
      </c>
      <c r="E184" s="28" t="n">
        <v>0</v>
      </c>
      <c r="F184" s="28" t="n">
        <v>0</v>
      </c>
      <c r="G184" s="28" t="n">
        <v>0</v>
      </c>
      <c r="H184" s="29">
        <f>F184</f>
        <v/>
      </c>
      <c r="I184" s="27" t="inlineStr">
        <is>
          <t>Assumption: the draft hybrid has a for-profit owner, so taxable. A nonprofit owner-operator could seek the welfare exemption (research for counsel)</t>
        </is>
      </c>
    </row>
    <row r="185">
      <c r="A185" s="23" t="inlineStr">
        <is>
          <t>Operating costs</t>
        </is>
      </c>
      <c r="B185" s="23" t="inlineStr">
        <is>
          <t>marketing</t>
        </is>
      </c>
      <c r="C185" s="9" t="inlineStr">
        <is>
          <t>Marketing and sales</t>
        </is>
      </c>
      <c r="D185" s="24" t="inlineStr">
        <is>
          <t>USD</t>
        </is>
      </c>
      <c r="E185" s="32" t="n">
        <v>80000</v>
      </c>
      <c r="F185" s="32" t="n">
        <v>150000</v>
      </c>
      <c r="G185" s="32" t="n">
        <v>250000</v>
      </c>
      <c r="H185" s="33">
        <f>F185</f>
        <v/>
      </c>
      <c r="I185" s="27" t="inlineStr">
        <is>
          <t>Assumption; S21 (USD 50k to 200k)</t>
        </is>
      </c>
    </row>
    <row r="186">
      <c r="A186" s="23" t="inlineStr">
        <is>
          <t>Operating costs</t>
        </is>
      </c>
      <c r="B186" s="23" t="inlineStr">
        <is>
          <t>gna</t>
        </is>
      </c>
      <c r="C186" s="9" t="inlineStr">
        <is>
          <t>General and administrative (legal, audit, IT, office)</t>
        </is>
      </c>
      <c r="D186" s="24" t="inlineStr">
        <is>
          <t>USD</t>
        </is>
      </c>
      <c r="E186" s="32" t="n">
        <v>120000</v>
      </c>
      <c r="F186" s="32" t="n">
        <v>180000</v>
      </c>
      <c r="G186" s="32" t="n">
        <v>260000</v>
      </c>
      <c r="H186" s="32" t="n">
        <v>200000</v>
      </c>
      <c r="I186" s="27" t="inlineStr">
        <is>
          <t>Assumption; S21 (USD 60k to 150k for one entity; two entities cost more)</t>
        </is>
      </c>
    </row>
    <row r="187">
      <c r="A187" s="23" t="inlineStr">
        <is>
          <t>Operating costs</t>
        </is>
      </c>
      <c r="B187" s="23" t="inlineStr">
        <is>
          <t>payment_fees</t>
        </is>
      </c>
      <c r="C187" s="9" t="inlineStr">
        <is>
          <t>Payment and booking fees (share of earned revenue)</t>
        </is>
      </c>
      <c r="D187" s="24" t="inlineStr">
        <is>
          <t>share</t>
        </is>
      </c>
      <c r="E187" s="28" t="n">
        <v>0.03</v>
      </c>
      <c r="F187" s="28" t="n">
        <v>0.03</v>
      </c>
      <c r="G187" s="28" t="n">
        <v>0.03</v>
      </c>
      <c r="H187" s="29">
        <f>F187</f>
        <v/>
      </c>
      <c r="I187" s="27" t="inlineStr">
        <is>
          <t>Assumption</t>
        </is>
      </c>
    </row>
    <row r="188">
      <c r="A188" s="23" t="inlineStr">
        <is>
          <t>Operating costs</t>
        </is>
      </c>
      <c r="B188" s="23" t="inlineStr">
        <is>
          <t>repl_reserve</t>
        </is>
      </c>
      <c r="C188" s="9" t="inlineStr">
        <is>
          <t>Replacement reserve (share of earned revenue)</t>
        </is>
      </c>
      <c r="D188" s="24" t="inlineStr">
        <is>
          <t>share</t>
        </is>
      </c>
      <c r="E188" s="28" t="n">
        <v>0.02</v>
      </c>
      <c r="F188" s="28" t="n">
        <v>0.02</v>
      </c>
      <c r="G188" s="28" t="n">
        <v>0.02</v>
      </c>
      <c r="H188" s="29">
        <f>F188</f>
        <v/>
      </c>
      <c r="I188" s="27" t="inlineStr">
        <is>
          <t>Assumption (hotel practice is 3 to 4% of revenue)</t>
        </is>
      </c>
    </row>
    <row r="189">
      <c r="A189" s="23" t="inlineStr">
        <is>
          <t>Operating costs</t>
        </is>
      </c>
      <c r="B189" s="23" t="inlineStr">
        <is>
          <t>inflation</t>
        </is>
      </c>
      <c r="C189" s="9" t="inlineStr">
        <is>
          <t>General inflation (0 = constant 2026 USD)</t>
        </is>
      </c>
      <c r="D189" s="24" t="inlineStr">
        <is>
          <t>share</t>
        </is>
      </c>
      <c r="E189" s="28" t="n">
        <v>0</v>
      </c>
      <c r="F189" s="28" t="n">
        <v>0</v>
      </c>
      <c r="G189" s="28" t="n">
        <v>0</v>
      </c>
      <c r="H189" s="29">
        <f>F189</f>
        <v/>
      </c>
      <c r="I189" s="27" t="inlineStr">
        <is>
          <t>Assumption: Stated: the model runs in constant 2026 dollars. Enter 3% to see nominal figures (applies to revenue, costs and capex)</t>
        </is>
      </c>
    </row>
    <row r="190">
      <c r="A190" s="23" t="inlineStr">
        <is>
          <t>Operating costs</t>
        </is>
      </c>
      <c r="B190" s="23" t="inlineStr">
        <is>
          <t>endowment_draw</t>
        </is>
      </c>
      <c r="C190" s="9" t="inlineStr">
        <is>
          <t>Endowment draw rate</t>
        </is>
      </c>
      <c r="D190" s="24" t="inlineStr">
        <is>
          <t>share</t>
        </is>
      </c>
      <c r="E190" s="28" t="n">
        <v>0.045</v>
      </c>
      <c r="F190" s="28" t="n">
        <v>0.045</v>
      </c>
      <c r="G190" s="28" t="n">
        <v>0.045</v>
      </c>
      <c r="H190" s="29">
        <f>F190</f>
        <v/>
      </c>
      <c r="I190" s="27" t="inlineStr">
        <is>
          <t>Assumption: S21 (4 to 5%)</t>
        </is>
      </c>
    </row>
    <row r="191">
      <c r="A191" s="7" t="inlineStr">
        <is>
          <t>Funding (draft sources)</t>
        </is>
      </c>
      <c r="B191" s="8" t="n"/>
      <c r="C191" s="8" t="n"/>
      <c r="D191" s="8" t="n"/>
      <c r="E191" s="8" t="n"/>
      <c r="F191" s="8" t="n"/>
      <c r="G191" s="8" t="n"/>
      <c r="H191" s="8" t="n"/>
      <c r="I191" s="8" t="n"/>
    </row>
    <row r="192">
      <c r="A192" s="23" t="inlineStr">
        <is>
          <t>Funding (draft sources)</t>
        </is>
      </c>
      <c r="B192" s="23" t="inlineStr">
        <is>
          <t>debt</t>
        </is>
      </c>
      <c r="C192" s="9" t="inlineStr">
        <is>
          <t>Debt secured on land and cabins</t>
        </is>
      </c>
      <c r="D192" s="24" t="inlineStr">
        <is>
          <t>USD</t>
        </is>
      </c>
      <c r="E192" s="32" t="n">
        <v>1000000</v>
      </c>
      <c r="F192" s="32" t="n">
        <v>2000000</v>
      </c>
      <c r="G192" s="32" t="n">
        <v>4000000</v>
      </c>
      <c r="H192" s="33">
        <f>F192</f>
        <v/>
      </c>
      <c r="I192" s="27" t="inlineStr">
        <is>
          <t>Draft: sized to roughly what the cabins earn after their own costs; the institute runs a deficit and cannot carry debt</t>
        </is>
      </c>
    </row>
    <row r="193">
      <c r="A193" s="23" t="inlineStr">
        <is>
          <t>Funding (draft sources)</t>
        </is>
      </c>
      <c r="B193" s="23" t="inlineStr">
        <is>
          <t>capital_grants</t>
        </is>
      </c>
      <c r="C193" s="9" t="inlineStr">
        <is>
          <t>Capital grants</t>
        </is>
      </c>
      <c r="D193" s="24" t="inlineStr">
        <is>
          <t>USD</t>
        </is>
      </c>
      <c r="E193" s="32" t="n">
        <v>500000</v>
      </c>
      <c r="F193" s="32" t="n">
        <v>1000000</v>
      </c>
      <c r="G193" s="32" t="n">
        <v>2000000</v>
      </c>
      <c r="H193" s="32" t="n">
        <v>500000</v>
      </c>
      <c r="I193" s="27" t="inlineStr">
        <is>
          <t>Draft</t>
        </is>
      </c>
    </row>
    <row r="194">
      <c r="A194" s="23" t="inlineStr">
        <is>
          <t>Funding (draft sources)</t>
        </is>
      </c>
      <c r="B194" s="23" t="inlineStr">
        <is>
          <t>phil_share</t>
        </is>
      </c>
      <c r="C194" s="9" t="inlineStr">
        <is>
          <t>Share of remaining need raised as gifts</t>
        </is>
      </c>
      <c r="D194" s="24" t="inlineStr">
        <is>
          <t>share</t>
        </is>
      </c>
      <c r="E194" s="28" t="n">
        <v>0.5</v>
      </c>
      <c r="F194" s="28" t="n">
        <v>0.55</v>
      </c>
      <c r="G194" s="28" t="n">
        <v>0.6</v>
      </c>
      <c r="H194" s="28" t="n">
        <v>0.5</v>
      </c>
      <c r="I194" s="27" t="inlineStr">
        <is>
          <t>Draft: donors fund the cultural buildings; equity funds land and lodging</t>
        </is>
      </c>
    </row>
    <row r="195">
      <c r="A195" s="23" t="inlineStr">
        <is>
          <t>Funding (draft sources)</t>
        </is>
      </c>
      <c r="B195" s="23" t="inlineStr">
        <is>
          <t>debt_rate</t>
        </is>
      </c>
      <c r="C195" s="9" t="inlineStr">
        <is>
          <t>Debt interest rate (indicative)</t>
        </is>
      </c>
      <c r="D195" s="24" t="inlineStr">
        <is>
          <t>share</t>
        </is>
      </c>
      <c r="E195" s="28" t="n">
        <v>0.07000000000000001</v>
      </c>
      <c r="F195" s="28" t="n">
        <v>0.07000000000000001</v>
      </c>
      <c r="G195" s="28" t="n">
        <v>0.07000000000000001</v>
      </c>
      <c r="H195" s="29">
        <f>F195</f>
        <v/>
      </c>
      <c r="I195" s="27" t="inlineStr">
        <is>
          <t>Assumption</t>
        </is>
      </c>
    </row>
    <row r="196">
      <c r="A196" s="23" t="inlineStr">
        <is>
          <t>Funding (draft sources)</t>
        </is>
      </c>
      <c r="B196" s="23" t="inlineStr">
        <is>
          <t>debt_term</t>
        </is>
      </c>
      <c r="C196" s="9" t="inlineStr">
        <is>
          <t>Debt term (years)</t>
        </is>
      </c>
      <c r="D196" s="24" t="inlineStr">
        <is>
          <t>years</t>
        </is>
      </c>
      <c r="E196" s="32" t="n">
        <v>25</v>
      </c>
      <c r="F196" s="32" t="n">
        <v>25</v>
      </c>
      <c r="G196" s="32" t="n">
        <v>25</v>
      </c>
      <c r="H196" s="33">
        <f>F196</f>
        <v/>
      </c>
      <c r="I196" s="27" t="inlineStr">
        <is>
          <t>Assumption</t>
        </is>
      </c>
    </row>
    <row r="197">
      <c r="A197" s="7" t="inlineStr">
        <is>
          <t>Staff roster (our core team, 14 Oct 2026; wages BLS May 2025, Oxnard-Thousand Oaks-Ventura)</t>
        </is>
      </c>
      <c r="B197" s="8" t="n"/>
      <c r="C197" s="8" t="n"/>
      <c r="D197" s="8" t="n"/>
      <c r="E197" s="8" t="n"/>
      <c r="F197" s="8" t="n"/>
      <c r="G197" s="8" t="n"/>
      <c r="H197" s="8" t="n"/>
      <c r="I197" s="8" t="n"/>
    </row>
    <row r="198">
      <c r="A198" s="23" t="inlineStr">
        <is>
          <t>Staff roster (our core team, 14 Oct 2026; wages BLS May 2025, Oxnard-Thousand Oaks-Ventura)</t>
        </is>
      </c>
      <c r="B198" s="23" t="inlineStr">
        <is>
          <t>fte_ceo</t>
        </is>
      </c>
      <c r="C198" s="9" t="inlineStr">
        <is>
          <t>CEO: FTE (from Phase 1)</t>
        </is>
      </c>
      <c r="D198" s="24" t="inlineStr">
        <is>
          <t>FTE</t>
        </is>
      </c>
      <c r="E198" s="30" t="n">
        <v>1</v>
      </c>
      <c r="F198" s="30" t="n">
        <v>1</v>
      </c>
      <c r="G198" s="30" t="n">
        <v>1</v>
      </c>
      <c r="H198" s="31">
        <f>F198</f>
        <v/>
      </c>
      <c r="I198" s="27" t="inlineStr">
        <is>
          <t>Planning target: Planning target, 14 Oct 2026: the team Bastion needs</t>
        </is>
      </c>
    </row>
    <row r="199">
      <c r="A199" s="23" t="inlineStr">
        <is>
          <t>Staff roster (our core team, 14 Oct 2026; wages BLS May 2025, Oxnard-Thousand Oaks-Ventura)</t>
        </is>
      </c>
      <c r="B199" s="23" t="inlineStr">
        <is>
          <t>wage_ceo</t>
        </is>
      </c>
      <c r="C199" s="9" t="inlineStr">
        <is>
          <t>CEO: annual wage</t>
        </is>
      </c>
      <c r="D199" s="24" t="inlineStr">
        <is>
          <t>USD</t>
        </is>
      </c>
      <c r="E199" s="32" t="n">
        <v>160740</v>
      </c>
      <c r="F199" s="32" t="n">
        <v>160740</v>
      </c>
      <c r="G199" s="32" t="n">
        <v>160740</v>
      </c>
      <c r="H199" s="33">
        <f>F199</f>
        <v/>
      </c>
      <c r="I199" s="27" t="inlineStr">
        <is>
          <t>Research: S11: general and operations managers, median</t>
        </is>
      </c>
    </row>
    <row r="200">
      <c r="A200" s="23" t="inlineStr">
        <is>
          <t>Staff roster (our core team, 14 Oct 2026; wages BLS May 2025, Oxnard-Thousand Oaks-Ventura)</t>
        </is>
      </c>
      <c r="B200" s="23" t="inlineStr">
        <is>
          <t>fte_coo</t>
        </is>
      </c>
      <c r="C200" s="9" t="inlineStr">
        <is>
          <t>COO: FTE (from Phase 1)</t>
        </is>
      </c>
      <c r="D200" s="24" t="inlineStr">
        <is>
          <t>FTE</t>
        </is>
      </c>
      <c r="E200" s="30" t="n">
        <v>1</v>
      </c>
      <c r="F200" s="30" t="n">
        <v>1</v>
      </c>
      <c r="G200" s="30" t="n">
        <v>1</v>
      </c>
      <c r="H200" s="31">
        <f>F200</f>
        <v/>
      </c>
      <c r="I200" s="27" t="inlineStr">
        <is>
          <t>Planning target: Planning target, 14 Oct 2026: the team Bastion needs</t>
        </is>
      </c>
    </row>
    <row r="201">
      <c r="A201" s="23" t="inlineStr">
        <is>
          <t>Staff roster (our core team, 14 Oct 2026; wages BLS May 2025, Oxnard-Thousand Oaks-Ventura)</t>
        </is>
      </c>
      <c r="B201" s="23" t="inlineStr">
        <is>
          <t>wage_coo</t>
        </is>
      </c>
      <c r="C201" s="9" t="inlineStr">
        <is>
          <t>COO: annual wage</t>
        </is>
      </c>
      <c r="D201" s="24" t="inlineStr">
        <is>
          <t>USD</t>
        </is>
      </c>
      <c r="E201" s="32" t="n">
        <v>103870</v>
      </c>
      <c r="F201" s="32" t="n">
        <v>103870</v>
      </c>
      <c r="G201" s="32" t="n">
        <v>103870</v>
      </c>
      <c r="H201" s="33">
        <f>F201</f>
        <v/>
      </c>
      <c r="I201" s="27" t="inlineStr">
        <is>
          <t>Research: S11: general and operations managers, 25th percentile</t>
        </is>
      </c>
    </row>
    <row r="202">
      <c r="A202" s="23" t="inlineStr">
        <is>
          <t>Staff roster (our core team, 14 Oct 2026; wages BLS May 2025, Oxnard-Thousand Oaks-Ventura)</t>
        </is>
      </c>
      <c r="B202" s="23" t="inlineStr">
        <is>
          <t>fte_cfo</t>
        </is>
      </c>
      <c r="C202" s="9" t="inlineStr">
        <is>
          <t>Fractional CFO: FTE (from Phase 1)</t>
        </is>
      </c>
      <c r="D202" s="24" t="inlineStr">
        <is>
          <t>FTE</t>
        </is>
      </c>
      <c r="E202" s="30" t="n">
        <v>0.3</v>
      </c>
      <c r="F202" s="30" t="n">
        <v>0.3</v>
      </c>
      <c r="G202" s="30" t="n">
        <v>0.3</v>
      </c>
      <c r="H202" s="31">
        <f>F202</f>
        <v/>
      </c>
      <c r="I202" s="27" t="inlineStr">
        <is>
          <t>Planning target: Planning target, 14 Oct 2026: the team Bastion needs. The fractional CFO is taken as 0.3 FTE (draft)</t>
        </is>
      </c>
    </row>
    <row r="203">
      <c r="A203" s="23" t="inlineStr">
        <is>
          <t>Staff roster (our core team, 14 Oct 2026; wages BLS May 2025, Oxnard-Thousand Oaks-Ventura)</t>
        </is>
      </c>
      <c r="B203" s="23" t="inlineStr">
        <is>
          <t>wage_cfo</t>
        </is>
      </c>
      <c r="C203" s="9" t="inlineStr">
        <is>
          <t>Fractional CFO: annual wage</t>
        </is>
      </c>
      <c r="D203" s="24" t="inlineStr">
        <is>
          <t>USD</t>
        </is>
      </c>
      <c r="E203" s="32" t="n">
        <v>160740</v>
      </c>
      <c r="F203" s="32" t="n">
        <v>160740</v>
      </c>
      <c r="G203" s="32" t="n">
        <v>160740</v>
      </c>
      <c r="H203" s="33">
        <f>F203</f>
        <v/>
      </c>
      <c r="I203" s="27" t="inlineStr">
        <is>
          <t>Research: S11: general and operations managers, median, used as a proxy for a part-time CFO</t>
        </is>
      </c>
    </row>
    <row r="204">
      <c r="A204" s="23" t="inlineStr">
        <is>
          <t>Staff roster (our core team, 14 Oct 2026; wages BLS May 2025, Oxnard-Thousand Oaks-Ventura)</t>
        </is>
      </c>
      <c r="B204" s="23" t="inlineStr">
        <is>
          <t>fte_prog</t>
        </is>
      </c>
      <c r="C204" s="9" t="inlineStr">
        <is>
          <t>Head of programming: FTE (from Phase 1)</t>
        </is>
      </c>
      <c r="D204" s="24" t="inlineStr">
        <is>
          <t>FTE</t>
        </is>
      </c>
      <c r="E204" s="30" t="n">
        <v>1</v>
      </c>
      <c r="F204" s="30" t="n">
        <v>1</v>
      </c>
      <c r="G204" s="30" t="n">
        <v>1</v>
      </c>
      <c r="H204" s="31">
        <f>F204</f>
        <v/>
      </c>
      <c r="I204" s="27" t="inlineStr">
        <is>
          <t>Planning target: Planning target, 14 Oct 2026: the team Bastion needs</t>
        </is>
      </c>
    </row>
    <row r="205">
      <c r="A205" s="23" t="inlineStr">
        <is>
          <t>Staff roster (our core team, 14 Oct 2026; wages BLS May 2025, Oxnard-Thousand Oaks-Ventura)</t>
        </is>
      </c>
      <c r="B205" s="23" t="inlineStr">
        <is>
          <t>wage_prog</t>
        </is>
      </c>
      <c r="C205" s="9" t="inlineStr">
        <is>
          <t>Head of programming: annual wage</t>
        </is>
      </c>
      <c r="D205" s="24" t="inlineStr">
        <is>
          <t>USD</t>
        </is>
      </c>
      <c r="E205" s="32" t="n">
        <v>77890</v>
      </c>
      <c r="F205" s="32" t="n">
        <v>77890</v>
      </c>
      <c r="G205" s="32" t="n">
        <v>77890</v>
      </c>
      <c r="H205" s="33">
        <f>F205</f>
        <v/>
      </c>
      <c r="I205" s="27" t="inlineStr">
        <is>
          <t>Research: S11: meeting, convention and event planners, median</t>
        </is>
      </c>
    </row>
    <row r="206">
      <c r="A206" s="23" t="inlineStr">
        <is>
          <t>Staff roster (our core team, 14 Oct 2026; wages BLS May 2025, Oxnard-Thousand Oaks-Ventura)</t>
        </is>
      </c>
      <c r="B206" s="23" t="inlineStr">
        <is>
          <t>fte_ops</t>
        </is>
      </c>
      <c r="C206" s="9" t="inlineStr">
        <is>
          <t>Head of operations: FTE (from Phase 1)</t>
        </is>
      </c>
      <c r="D206" s="24" t="inlineStr">
        <is>
          <t>FTE</t>
        </is>
      </c>
      <c r="E206" s="30" t="n">
        <v>1</v>
      </c>
      <c r="F206" s="30" t="n">
        <v>1</v>
      </c>
      <c r="G206" s="30" t="n">
        <v>1</v>
      </c>
      <c r="H206" s="31">
        <f>F206</f>
        <v/>
      </c>
      <c r="I206" s="27" t="inlineStr">
        <is>
          <t>Planning target: Planning target, 14 Oct 2026: the team Bastion needs</t>
        </is>
      </c>
    </row>
    <row r="207">
      <c r="A207" s="23" t="inlineStr">
        <is>
          <t>Staff roster (our core team, 14 Oct 2026; wages BLS May 2025, Oxnard-Thousand Oaks-Ventura)</t>
        </is>
      </c>
      <c r="B207" s="23" t="inlineStr">
        <is>
          <t>wage_ops</t>
        </is>
      </c>
      <c r="C207" s="9" t="inlineStr">
        <is>
          <t>Head of operations: annual wage</t>
        </is>
      </c>
      <c r="D207" s="24" t="inlineStr">
        <is>
          <t>USD</t>
        </is>
      </c>
      <c r="E207" s="32" t="n">
        <v>75770</v>
      </c>
      <c r="F207" s="32" t="n">
        <v>75770</v>
      </c>
      <c r="G207" s="32" t="n">
        <v>75770</v>
      </c>
      <c r="H207" s="33">
        <f>F207</f>
        <v/>
      </c>
      <c r="I207" s="27" t="inlineStr">
        <is>
          <t>Research: S11: lodging managers, 25th percentile</t>
        </is>
      </c>
    </row>
    <row r="208">
      <c r="A208" s="23" t="inlineStr">
        <is>
          <t>Staff roster (our core team, 14 Oct 2026; wages BLS May 2025, Oxnard-Thousand Oaks-Ventura)</t>
        </is>
      </c>
      <c r="B208" s="23" t="inlineStr">
        <is>
          <t>fte_mkt</t>
        </is>
      </c>
      <c r="C208" s="9" t="inlineStr">
        <is>
          <t>Head of marketing and partnerships: FTE (from Phase 1)</t>
        </is>
      </c>
      <c r="D208" s="24" t="inlineStr">
        <is>
          <t>FTE</t>
        </is>
      </c>
      <c r="E208" s="30" t="n">
        <v>1</v>
      </c>
      <c r="F208" s="30" t="n">
        <v>1</v>
      </c>
      <c r="G208" s="30" t="n">
        <v>1</v>
      </c>
      <c r="H208" s="31">
        <f>F208</f>
        <v/>
      </c>
      <c r="I208" s="27" t="inlineStr">
        <is>
          <t>Planning target: Planning target, 14 Oct 2026: the team Bastion needs</t>
        </is>
      </c>
    </row>
    <row r="209">
      <c r="A209" s="23" t="inlineStr">
        <is>
          <t>Staff roster (our core team, 14 Oct 2026; wages BLS May 2025, Oxnard-Thousand Oaks-Ventura)</t>
        </is>
      </c>
      <c r="B209" s="23" t="inlineStr">
        <is>
          <t>wage_mkt</t>
        </is>
      </c>
      <c r="C209" s="9" t="inlineStr">
        <is>
          <t>Head of marketing and partnerships: annual wage</t>
        </is>
      </c>
      <c r="D209" s="24" t="inlineStr">
        <is>
          <t>USD</t>
        </is>
      </c>
      <c r="E209" s="32" t="n">
        <v>75560</v>
      </c>
      <c r="F209" s="32" t="n">
        <v>75560</v>
      </c>
      <c r="G209" s="32" t="n">
        <v>75560</v>
      </c>
      <c r="H209" s="33">
        <f>F209</f>
        <v/>
      </c>
      <c r="I209" s="27" t="inlineStr">
        <is>
          <t>Research: S11: fundraisers, median, used as a proxy</t>
        </is>
      </c>
    </row>
    <row r="210">
      <c r="A210" s="23" t="inlineStr">
        <is>
          <t>Staff roster (our core team, 14 Oct 2026; wages BLS May 2025, Oxnard-Thousand Oaks-Ventura)</t>
        </is>
      </c>
      <c r="B210" s="23" t="inlineStr">
        <is>
          <t>fte_grounds</t>
        </is>
      </c>
      <c r="C210" s="9" t="inlineStr">
        <is>
          <t>Gardener and groundskeeper: FTE (from Phase 1)</t>
        </is>
      </c>
      <c r="D210" s="24" t="inlineStr">
        <is>
          <t>FTE</t>
        </is>
      </c>
      <c r="E210" s="30" t="n">
        <v>1</v>
      </c>
      <c r="F210" s="30" t="n">
        <v>1</v>
      </c>
      <c r="G210" s="30" t="n">
        <v>1</v>
      </c>
      <c r="H210" s="31">
        <f>F210</f>
        <v/>
      </c>
      <c r="I210" s="27" t="inlineStr">
        <is>
          <t>Planning target: Planning target, 14 Oct 2026: the team Bastion needs</t>
        </is>
      </c>
    </row>
    <row r="211">
      <c r="A211" s="23" t="inlineStr">
        <is>
          <t>Staff roster (our core team, 14 Oct 2026; wages BLS May 2025, Oxnard-Thousand Oaks-Ventura)</t>
        </is>
      </c>
      <c r="B211" s="23" t="inlineStr">
        <is>
          <t>wage_grounds</t>
        </is>
      </c>
      <c r="C211" s="9" t="inlineStr">
        <is>
          <t>Gardener and groundskeeper: annual wage</t>
        </is>
      </c>
      <c r="D211" s="24" t="inlineStr">
        <is>
          <t>USD</t>
        </is>
      </c>
      <c r="E211" s="32" t="n">
        <v>48530</v>
      </c>
      <c r="F211" s="32" t="n">
        <v>48530</v>
      </c>
      <c r="G211" s="32" t="n">
        <v>48530</v>
      </c>
      <c r="H211" s="33">
        <f>F211</f>
        <v/>
      </c>
      <c r="I211" s="27" t="inlineStr">
        <is>
          <t>Research: S11: landscaping and groundskeeping workers, median</t>
        </is>
      </c>
    </row>
    <row r="212">
      <c r="A212" s="23" t="inlineStr">
        <is>
          <t>Staff roster (our core team, 14 Oct 2026; wages BLS May 2025, Oxnard-Thousand Oaks-Ventura)</t>
        </is>
      </c>
      <c r="B212" s="23" t="inlineStr">
        <is>
          <t>fte_clean</t>
        </is>
      </c>
      <c r="C212" s="9" t="inlineStr">
        <is>
          <t>Cleaner: FTE (from Phase 1)</t>
        </is>
      </c>
      <c r="D212" s="24" t="inlineStr">
        <is>
          <t>FTE</t>
        </is>
      </c>
      <c r="E212" s="30" t="n">
        <v>1</v>
      </c>
      <c r="F212" s="30" t="n">
        <v>1</v>
      </c>
      <c r="G212" s="30" t="n">
        <v>1</v>
      </c>
      <c r="H212" s="31">
        <f>F212</f>
        <v/>
      </c>
      <c r="I212" s="27" t="inlineStr">
        <is>
          <t>Planning target: Planning target, 14 Oct 2026: the team Bastion needs</t>
        </is>
      </c>
    </row>
    <row r="213">
      <c r="A213" s="23" t="inlineStr">
        <is>
          <t>Staff roster (our core team, 14 Oct 2026; wages BLS May 2025, Oxnard-Thousand Oaks-Ventura)</t>
        </is>
      </c>
      <c r="B213" s="23" t="inlineStr">
        <is>
          <t>wage_clean</t>
        </is>
      </c>
      <c r="C213" s="9" t="inlineStr">
        <is>
          <t>Cleaner: annual wage</t>
        </is>
      </c>
      <c r="D213" s="24" t="inlineStr">
        <is>
          <t>USD</t>
        </is>
      </c>
      <c r="E213" s="32" t="n">
        <v>46400</v>
      </c>
      <c r="F213" s="32" t="n">
        <v>46400</v>
      </c>
      <c r="G213" s="32" t="n">
        <v>46400</v>
      </c>
      <c r="H213" s="33">
        <f>F213</f>
        <v/>
      </c>
      <c r="I213" s="27" t="inlineStr">
        <is>
          <t>Research: S11: maids and housekeeping cleaners, median</t>
        </is>
      </c>
    </row>
  </sheetData>
  <mergeCells count="1">
    <mergeCell ref="A3:I3"/>
  </mergeCells>
  <pageMargins left="0.75" right="0.75" top="1" bottom="1" header="0.5" footer="0.5"/>
  <pageSetup orientation="landscape" fitToWidth="1"/>
</worksheet>
</file>

<file path=xl/worksheets/sheet4.xml><?xml version="1.0" encoding="utf-8"?>
<worksheet xmlns="http://schemas.openxmlformats.org/spreadsheetml/2006/main">
  <sheetPr>
    <outlinePr summaryBelow="1" summaryRight="1"/>
    <pageSetUpPr fitToPage="1"/>
  </sheetPr>
  <dimension ref="A1:G87"/>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74" customWidth="1" min="1" max="1"/>
    <col width="11" customWidth="1" min="2" max="2"/>
    <col width="52" customWidth="1" min="3" max="3"/>
    <col width="14" customWidth="1" min="4" max="4"/>
    <col width="14" customWidth="1" min="5" max="5"/>
    <col width="14" customWidth="1" min="6" max="6"/>
    <col width="14" customWidth="1" min="7" max="7"/>
  </cols>
  <sheetData>
    <row r="1">
      <c r="A1" s="1" t="inlineStr">
        <is>
          <t>Bastion  -  Sources &amp; Uses</t>
        </is>
      </c>
    </row>
    <row r="2">
      <c r="A2" s="2" t="inlineStr">
        <is>
          <t>Capital cost by phase in constant 2026 USD, Ojai basis. Our planning targets for the land, sound system, gear, bathhouse, maintenance building, landscaping and artwork, and the cabins at USD 300,000 installed; the California buildout research (14 Oct 2026) for the rest, the base at its Low tier. Soft costs and contingency are added per phase. Sources are a draft scenario, not a plan.</t>
        </is>
      </c>
    </row>
    <row r="4">
      <c r="A4" s="3" t="inlineStr">
        <is>
          <t>Item</t>
        </is>
      </c>
      <c r="B4" s="4" t="inlineStr">
        <is>
          <t>Phase</t>
        </is>
      </c>
      <c r="C4" s="4" t="inlineStr">
        <is>
          <t>Basis</t>
        </is>
      </c>
      <c r="D4" s="4" t="inlineStr">
        <is>
          <t>Low</t>
        </is>
      </c>
      <c r="E4" s="4" t="inlineStr">
        <is>
          <t>Base</t>
        </is>
      </c>
      <c r="F4" s="4" t="inlineStr">
        <is>
          <t>High</t>
        </is>
      </c>
      <c r="G4" s="4" t="inlineStr">
        <is>
          <t>Stress</t>
        </is>
      </c>
    </row>
    <row r="5">
      <c r="A5" s="7" t="inlineStr">
        <is>
          <t>Per-cabin installed cost (planning target: USD 300,000 per cabin installed in Ojai; component estimate kept for reference)</t>
        </is>
      </c>
      <c r="B5" s="8" t="n"/>
      <c r="C5" s="8" t="n"/>
      <c r="D5" s="8" t="n"/>
      <c r="E5" s="8" t="n"/>
      <c r="F5" s="8" t="n"/>
      <c r="G5" s="8" t="n"/>
    </row>
    <row r="6">
      <c r="A6" s="37" t="inlineStr">
        <is>
          <t>Reference: arhome unit price</t>
        </is>
      </c>
      <c r="B6" s="37" t="inlineStr"/>
      <c r="C6" s="24" t="inlineStr">
        <is>
          <t>Input (reference only)</t>
        </is>
      </c>
      <c r="D6" s="38">
        <f>Assumptions!$E$20</f>
        <v/>
      </c>
      <c r="E6" s="38">
        <f>Assumptions!$F$20</f>
        <v/>
      </c>
      <c r="F6" s="38">
        <f>Assumptions!$G$20</f>
        <v/>
      </c>
      <c r="G6" s="38">
        <f>Assumptions!$H$20</f>
        <v/>
      </c>
    </row>
    <row r="7">
      <c r="A7" s="37" t="inlineStr">
        <is>
          <t>Reference: import duty and customs brokerage</t>
        </is>
      </c>
      <c r="B7" s="37" t="inlineStr"/>
      <c r="C7" s="24" t="inlineStr">
        <is>
          <t>Unit price x duty share (reference only)</t>
        </is>
      </c>
      <c r="D7" s="38">
        <f>Assumptions!$E$20*Assumptions!$E$21</f>
        <v/>
      </c>
      <c r="E7" s="38">
        <f>Assumptions!$F$20*Assumptions!$F$21</f>
        <v/>
      </c>
      <c r="F7" s="38">
        <f>Assumptions!$G$20*Assumptions!$G$21</f>
        <v/>
      </c>
      <c r="G7" s="38">
        <f>Assumptions!$H$20*Assumptions!$H$21</f>
        <v/>
      </c>
    </row>
    <row r="8">
      <c r="A8" s="37" t="inlineStr">
        <is>
          <t>Reference: transport Burlington, ON to Ojai</t>
        </is>
      </c>
      <c r="B8" s="37" t="inlineStr"/>
      <c r="C8" s="24" t="inlineStr">
        <is>
          <t>Input (reference only)</t>
        </is>
      </c>
      <c r="D8" s="38">
        <f>Assumptions!$E$22</f>
        <v/>
      </c>
      <c r="E8" s="38">
        <f>Assumptions!$F$22</f>
        <v/>
      </c>
      <c r="F8" s="38">
        <f>Assumptions!$G$22</f>
        <v/>
      </c>
      <c r="G8" s="38">
        <f>Assumptions!$H$22</f>
        <v/>
      </c>
    </row>
    <row r="9">
      <c r="A9" s="37" t="inlineStr">
        <is>
          <t>Reference: crane and set</t>
        </is>
      </c>
      <c r="B9" s="37" t="inlineStr"/>
      <c r="C9" s="24" t="inlineStr">
        <is>
          <t>Input (reference only)</t>
        </is>
      </c>
      <c r="D9" s="38">
        <f>Assumptions!$E$23</f>
        <v/>
      </c>
      <c r="E9" s="38">
        <f>Assumptions!$F$23</f>
        <v/>
      </c>
      <c r="F9" s="38">
        <f>Assumptions!$G$23</f>
        <v/>
      </c>
      <c r="G9" s="38">
        <f>Assumptions!$H$23</f>
        <v/>
      </c>
    </row>
    <row r="10">
      <c r="A10" s="37" t="inlineStr">
        <is>
          <t>Reference: foundation</t>
        </is>
      </c>
      <c r="B10" s="37" t="inlineStr"/>
      <c r="C10" s="24" t="inlineStr">
        <is>
          <t>Input (reference only)</t>
        </is>
      </c>
      <c r="D10" s="38">
        <f>Assumptions!$E$24</f>
        <v/>
      </c>
      <c r="E10" s="38">
        <f>Assumptions!$F$24</f>
        <v/>
      </c>
      <c r="F10" s="38">
        <f>Assumptions!$G$24</f>
        <v/>
      </c>
      <c r="G10" s="38">
        <f>Assumptions!$H$24</f>
        <v/>
      </c>
    </row>
    <row r="11">
      <c r="A11" s="37" t="inlineStr">
        <is>
          <t>Reference: utilities to pad</t>
        </is>
      </c>
      <c r="B11" s="37" t="inlineStr"/>
      <c r="C11" s="24" t="inlineStr">
        <is>
          <t>Input (reference only)</t>
        </is>
      </c>
      <c r="D11" s="38">
        <f>Assumptions!$E$25</f>
        <v/>
      </c>
      <c r="E11" s="38">
        <f>Assumptions!$F$25</f>
        <v/>
      </c>
      <c r="F11" s="38">
        <f>Assumptions!$G$25</f>
        <v/>
      </c>
      <c r="G11" s="38">
        <f>Assumptions!$H$25</f>
        <v/>
      </c>
    </row>
    <row r="12">
      <c r="A12" s="37" t="inlineStr">
        <is>
          <t>Reference: deck, steps, fire pit, pad landscaping</t>
        </is>
      </c>
      <c r="B12" s="37" t="inlineStr"/>
      <c r="C12" s="24" t="inlineStr">
        <is>
          <t>Input (reference only)</t>
        </is>
      </c>
      <c r="D12" s="38">
        <f>Assumptions!$E$26</f>
        <v/>
      </c>
      <c r="E12" s="38">
        <f>Assumptions!$F$26</f>
        <v/>
      </c>
      <c r="F12" s="38">
        <f>Assumptions!$G$26</f>
        <v/>
      </c>
      <c r="G12" s="38">
        <f>Assumptions!$H$26</f>
        <v/>
      </c>
    </row>
    <row r="13">
      <c r="A13" s="37" t="inlineStr">
        <is>
          <t>Reference: California compliance, plan check, fees, sprinklers</t>
        </is>
      </c>
      <c r="B13" s="37" t="inlineStr"/>
      <c r="C13" s="24" t="inlineStr">
        <is>
          <t>Input (reference only)</t>
        </is>
      </c>
      <c r="D13" s="38">
        <f>Assumptions!$E$27</f>
        <v/>
      </c>
      <c r="E13" s="38">
        <f>Assumptions!$F$27</f>
        <v/>
      </c>
      <c r="F13" s="38">
        <f>Assumptions!$G$27</f>
        <v/>
      </c>
      <c r="G13" s="38">
        <f>Assumptions!$H$27</f>
        <v/>
      </c>
    </row>
    <row r="14">
      <c r="A14" s="39" t="inlineStr">
        <is>
          <t>Reference estimate: sum of the component lines above (not used in the totals)</t>
        </is>
      </c>
      <c r="B14" s="37" t="inlineStr"/>
      <c r="C14" s="24" t="inlineStr">
        <is>
          <t>Sum of the lines above</t>
        </is>
      </c>
      <c r="D14" s="38">
        <f>SUM(D6:D13)</f>
        <v/>
      </c>
      <c r="E14" s="38">
        <f>SUM(E6:E13)</f>
        <v/>
      </c>
      <c r="F14" s="38">
        <f>SUM(F6:F13)</f>
        <v/>
      </c>
      <c r="G14" s="38">
        <f>SUM(G6:G13)</f>
        <v/>
      </c>
    </row>
    <row r="15">
      <c r="A15" s="40" t="inlineStr">
        <is>
          <t>Installed cost per cabin used in the model (planning target, 14 Oct 2026)</t>
        </is>
      </c>
      <c r="B15" s="40" t="inlineStr"/>
      <c r="C15" s="41" t="inlineStr">
        <is>
          <t>Input: planning target</t>
        </is>
      </c>
      <c r="D15" s="42">
        <f>Assumptions!$E$19</f>
        <v/>
      </c>
      <c r="E15" s="42">
        <f>Assumptions!$F$19</f>
        <v/>
      </c>
      <c r="F15" s="42">
        <f>Assumptions!$G$19</f>
        <v/>
      </c>
      <c r="G15" s="42">
        <f>Assumptions!$H$19</f>
        <v/>
      </c>
    </row>
    <row r="16">
      <c r="A16" s="7" t="inlineStr">
        <is>
          <t>USES  -  Stage 0 (2027 to 2028): ground, studies and permits</t>
        </is>
      </c>
      <c r="B16" s="8" t="n"/>
      <c r="C16" s="8" t="n"/>
      <c r="D16" s="8" t="n"/>
      <c r="E16" s="8" t="n"/>
      <c r="F16" s="8" t="n"/>
      <c r="G16" s="8" t="n"/>
    </row>
    <row r="17">
      <c r="A17" s="37" t="inlineStr">
        <is>
          <t>Pre-construction approvals: due diligence, studies, camp CUP, CEQA, attorney</t>
        </is>
      </c>
      <c r="B17" s="37" t="inlineStr">
        <is>
          <t>Stage 0</t>
        </is>
      </c>
      <c r="C17" s="24" t="inlineStr">
        <is>
          <t>Input</t>
        </is>
      </c>
      <c r="D17" s="38">
        <f>Assumptions!$E$37</f>
        <v/>
      </c>
      <c r="E17" s="38">
        <f>Assumptions!$F$37</f>
        <v/>
      </c>
      <c r="F17" s="38">
        <f>Assumptions!$G$37</f>
        <v/>
      </c>
      <c r="G17" s="38">
        <f>Assumptions!$H$37</f>
        <v/>
      </c>
    </row>
    <row r="18">
      <c r="A18" s="37" t="inlineStr">
        <is>
          <t>Stage 0 meadow prep, sound trail and pop-up kit</t>
        </is>
      </c>
      <c r="B18" s="37" t="inlineStr">
        <is>
          <t>Stage 0</t>
        </is>
      </c>
      <c r="C18" s="24" t="inlineStr">
        <is>
          <t>Input</t>
        </is>
      </c>
      <c r="D18" s="38">
        <f>Assumptions!$E$38</f>
        <v/>
      </c>
      <c r="E18" s="38">
        <f>Assumptions!$F$38</f>
        <v/>
      </c>
      <c r="F18" s="38">
        <f>Assumptions!$G$38</f>
        <v/>
      </c>
      <c r="G18" s="38">
        <f>Assumptions!$H$38</f>
        <v/>
      </c>
    </row>
    <row r="19">
      <c r="A19" s="40" t="inlineStr">
        <is>
          <t>Stage 0 subtotal</t>
        </is>
      </c>
      <c r="B19" s="40" t="inlineStr">
        <is>
          <t>Stage 0</t>
        </is>
      </c>
      <c r="C19" s="41" t="inlineStr"/>
      <c r="D19" s="42">
        <f>SUM(D17:D18)</f>
        <v/>
      </c>
      <c r="E19" s="42">
        <f>SUM(E17:E18)</f>
        <v/>
      </c>
      <c r="F19" s="42">
        <f>SUM(F17:F18)</f>
        <v/>
      </c>
      <c r="G19" s="42">
        <f>SUM(G17:G18)</f>
        <v/>
      </c>
    </row>
    <row r="20">
      <c r="A20" s="7" t="inlineStr">
        <is>
          <t>USES  -  Phase 1 (built 2029, opens 2030): land, amphitheater, sound, bathhouse and the 12 cabins</t>
        </is>
      </c>
      <c r="B20" s="8" t="n"/>
      <c r="C20" s="8" t="n"/>
      <c r="D20" s="8" t="n"/>
      <c r="E20" s="8" t="n"/>
      <c r="F20" s="8" t="n"/>
      <c r="G20" s="8" t="n"/>
    </row>
    <row r="21">
      <c r="A21" s="37" t="inlineStr">
        <is>
          <t>Land (5 to 50 acres, Ojai Valley)</t>
        </is>
      </c>
      <c r="B21" s="37" t="inlineStr">
        <is>
          <t>Phase 1</t>
        </is>
      </c>
      <c r="C21" s="24" t="inlineStr">
        <is>
          <t>Input (planning target)</t>
        </is>
      </c>
      <c r="D21" s="38">
        <f>Assumptions!$E$34</f>
        <v/>
      </c>
      <c r="E21" s="38">
        <f>Assumptions!$F$34</f>
        <v/>
      </c>
      <c r="F21" s="38">
        <f>Assumptions!$G$34</f>
        <v/>
      </c>
      <c r="G21" s="38">
        <f>Assumptions!$H$34</f>
        <v/>
      </c>
    </row>
    <row r="22">
      <c r="A22" s="37" t="inlineStr">
        <is>
          <t>Land closing costs</t>
        </is>
      </c>
      <c r="B22" s="37" t="inlineStr">
        <is>
          <t>Phase 1</t>
        </is>
      </c>
      <c r="C22" s="24" t="inlineStr">
        <is>
          <t>Land x closing share</t>
        </is>
      </c>
      <c r="D22" s="38">
        <f>Assumptions!$E$34*Assumptions!$E$36</f>
        <v/>
      </c>
      <c r="E22" s="38">
        <f>Assumptions!$F$34*Assumptions!$F$36</f>
        <v/>
      </c>
      <c r="F22" s="38">
        <f>Assumptions!$G$34*Assumptions!$G$36</f>
        <v/>
      </c>
      <c r="G22" s="38">
        <f>Assumptions!$H$34*Assumptions!$H$36</f>
        <v/>
      </c>
    </row>
    <row r="23">
      <c r="A23" s="37" t="inlineStr">
        <is>
          <t>Site infrastructure, Phase 1 share (roads, fire access, water, wastewater, power, data)</t>
        </is>
      </c>
      <c r="B23" s="37" t="inlineStr">
        <is>
          <t>Phase 1</t>
        </is>
      </c>
      <c r="C23" s="24" t="inlineStr">
        <is>
          <t>California research x Phase 1 share</t>
        </is>
      </c>
      <c r="D23" s="38">
        <f>Assumptions!$E$39*Assumptions!$E$40</f>
        <v/>
      </c>
      <c r="E23" s="38">
        <f>Assumptions!$F$39*Assumptions!$F$40</f>
        <v/>
      </c>
      <c r="F23" s="38">
        <f>Assumptions!$G$39*Assumptions!$G$40</f>
        <v/>
      </c>
      <c r="G23" s="38">
        <f>Assumptions!$H$39*Assumptions!$H$40</f>
        <v/>
      </c>
    </row>
    <row r="24">
      <c r="A24" s="37" t="inlineStr">
        <is>
          <t>Fire water storage, hydrants, shutoff generator, initial fuel clearance</t>
        </is>
      </c>
      <c r="B24" s="37" t="inlineStr">
        <is>
          <t>Phase 1</t>
        </is>
      </c>
      <c r="C24" s="24" t="inlineStr">
        <is>
          <t>Input (research, Ojai)</t>
        </is>
      </c>
      <c r="D24" s="38">
        <f>Assumptions!$E$42</f>
        <v/>
      </c>
      <c r="E24" s="38">
        <f>Assumptions!$F$42</f>
        <v/>
      </c>
      <c r="F24" s="38">
        <f>Assumptions!$G$42</f>
        <v/>
      </c>
      <c r="G24" s="38">
        <f>Assumptions!$H$42</f>
        <v/>
      </c>
    </row>
    <row r="25">
      <c r="A25" s="37" t="inlineStr">
        <is>
          <t>Amphitheater, 150 seats (bowl, stage, canopy, back-of-house, restrooms, lighting)</t>
        </is>
      </c>
      <c r="B25" s="37" t="inlineStr">
        <is>
          <t>Phase 1</t>
        </is>
      </c>
      <c r="C25" s="24" t="inlineStr">
        <is>
          <t>Input (research, Ojai hard cost)</t>
        </is>
      </c>
      <c r="D25" s="38">
        <f>Assumptions!$E$50</f>
        <v/>
      </c>
      <c r="E25" s="38">
        <f>Assumptions!$F$50</f>
        <v/>
      </c>
      <c r="F25" s="38">
        <f>Assumptions!$G$50</f>
        <v/>
      </c>
      <c r="G25" s="38">
        <f>Assumptions!$H$50</f>
        <v/>
      </c>
    </row>
    <row r="26">
      <c r="A26" s="37" t="inlineStr">
        <is>
          <t>Sculptural sound system</t>
        </is>
      </c>
      <c r="B26" s="37" t="inlineStr">
        <is>
          <t>Phase 1</t>
        </is>
      </c>
      <c r="C26" s="24" t="inlineStr">
        <is>
          <t>Input (planning target, installed)</t>
        </is>
      </c>
      <c r="D26" s="38">
        <f>Assumptions!$E$51</f>
        <v/>
      </c>
      <c r="E26" s="38">
        <f>Assumptions!$F$51</f>
        <v/>
      </c>
      <c r="F26" s="38">
        <f>Assumptions!$G$51</f>
        <v/>
      </c>
      <c r="G26" s="38">
        <f>Assumptions!$H$51</f>
        <v/>
      </c>
    </row>
    <row r="27">
      <c r="A27" s="37" t="inlineStr">
        <is>
          <t>Arcana cabins, Phase 1 (all 12)</t>
        </is>
      </c>
      <c r="B27" s="37" t="inlineStr">
        <is>
          <t>Phase 1</t>
        </is>
      </c>
      <c r="C27" s="24" t="inlineStr">
        <is>
          <t>Phase 1 cabins x installed cost (planning target)</t>
        </is>
      </c>
      <c r="D27" s="38">
        <f>Assumptions!$E$17*D15</f>
        <v/>
      </c>
      <c r="E27" s="38">
        <f>Assumptions!$F$17*E15</f>
        <v/>
      </c>
      <c r="F27" s="38">
        <f>Assumptions!$G$17*F15</f>
        <v/>
      </c>
      <c r="G27" s="38">
        <f>Assumptions!$H$17*G15</f>
        <v/>
      </c>
    </row>
    <row r="28">
      <c r="A28" s="37" t="inlineStr">
        <is>
          <t>Bathhouse: sauna, cold plunge and hot tub, shared</t>
        </is>
      </c>
      <c r="B28" s="37" t="inlineStr">
        <is>
          <t>Phase 1</t>
        </is>
      </c>
      <c r="C28" s="24" t="inlineStr">
        <is>
          <t>Input (planning target, Ojai hard cost)</t>
        </is>
      </c>
      <c r="D28" s="38">
        <f>Assumptions!$E$52</f>
        <v/>
      </c>
      <c r="E28" s="38">
        <f>Assumptions!$F$52</f>
        <v/>
      </c>
      <c r="F28" s="38">
        <f>Assumptions!$G$52</f>
        <v/>
      </c>
      <c r="G28" s="38">
        <f>Assumptions!$H$52</f>
        <v/>
      </c>
    </row>
    <row r="29">
      <c r="A29" s="37" t="inlineStr">
        <is>
          <t>Temporary kitchen (none: caterers until the gallery kitchen opens)</t>
        </is>
      </c>
      <c r="B29" s="37" t="inlineStr">
        <is>
          <t>Phase 1</t>
        </is>
      </c>
      <c r="C29" s="24" t="inlineStr">
        <is>
          <t>Input</t>
        </is>
      </c>
      <c r="D29" s="38">
        <f>Assumptions!$E$53</f>
        <v/>
      </c>
      <c r="E29" s="38">
        <f>Assumptions!$F$53</f>
        <v/>
      </c>
      <c r="F29" s="38">
        <f>Assumptions!$G$53</f>
        <v/>
      </c>
      <c r="G29" s="38">
        <f>Assumptions!$H$53</f>
        <v/>
      </c>
    </row>
    <row r="30">
      <c r="A30" s="37" t="inlineStr">
        <is>
          <t>School fees, Casitas water capital charge, HCD factory-built approval (one-time)</t>
        </is>
      </c>
      <c r="B30" s="37" t="inlineStr">
        <is>
          <t>Phase 1</t>
        </is>
      </c>
      <c r="C30" s="24" t="inlineStr">
        <is>
          <t>sf x school fee + acre-feet x Casitas charge + HCD approval</t>
        </is>
      </c>
      <c r="D30" s="38">
        <f>Assumptions!$E$43*Assumptions!$E$45+Assumptions!$E$44*Assumptions!$E$46+Assumptions!$E$47*Assumptions!$E$48+Assumptions!$E$49</f>
        <v/>
      </c>
      <c r="E30" s="38">
        <f>Assumptions!$F$43*Assumptions!$F$45+Assumptions!$F$44*Assumptions!$F$46+Assumptions!$F$47*Assumptions!$F$48+Assumptions!$F$49</f>
        <v/>
      </c>
      <c r="F30" s="38">
        <f>Assumptions!$G$43*Assumptions!$G$45+Assumptions!$G$44*Assumptions!$G$46+Assumptions!$G$47*Assumptions!$G$48+Assumptions!$G$49</f>
        <v/>
      </c>
      <c r="G30" s="38">
        <f>Assumptions!$H$43*Assumptions!$H$45+Assumptions!$H$44*Assumptions!$H$46+Assumptions!$H$47*Assumptions!$H$48+Assumptions!$H$49</f>
        <v/>
      </c>
    </row>
    <row r="31">
      <c r="A31" s="37" t="inlineStr">
        <is>
          <t>Maintenance building and one staff unit</t>
        </is>
      </c>
      <c r="B31" s="37" t="inlineStr">
        <is>
          <t>Phase 1</t>
        </is>
      </c>
      <c r="C31" s="24" t="inlineStr">
        <is>
          <t>Input (planning target) x Phase 1 share</t>
        </is>
      </c>
      <c r="D31" s="38">
        <f>Assumptions!$E$54*Assumptions!$E$55</f>
        <v/>
      </c>
      <c r="E31" s="38">
        <f>Assumptions!$F$54*Assumptions!$F$55</f>
        <v/>
      </c>
      <c r="F31" s="38">
        <f>Assumptions!$G$54*Assumptions!$G$55</f>
        <v/>
      </c>
      <c r="G31" s="38">
        <f>Assumptions!$H$54*Assumptions!$H$55</f>
        <v/>
      </c>
    </row>
    <row r="32">
      <c r="A32" s="37" t="inlineStr">
        <is>
          <t>Landscaping and artwork, Phase 1 share</t>
        </is>
      </c>
      <c r="B32" s="37" t="inlineStr">
        <is>
          <t>Phase 1</t>
        </is>
      </c>
      <c r="C32" s="24" t="inlineStr">
        <is>
          <t>Input (planning target) x Phase 1 share</t>
        </is>
      </c>
      <c r="D32" s="38">
        <f>Assumptions!$E$56*Assumptions!$E$57</f>
        <v/>
      </c>
      <c r="E32" s="38">
        <f>Assumptions!$F$56*Assumptions!$F$57</f>
        <v/>
      </c>
      <c r="F32" s="38">
        <f>Assumptions!$G$56*Assumptions!$G$57</f>
        <v/>
      </c>
      <c r="G32" s="38">
        <f>Assumptions!$H$56*Assumptions!$H$57</f>
        <v/>
      </c>
    </row>
    <row r="33">
      <c r="A33" s="37" t="inlineStr">
        <is>
          <t>FF&amp;E, vehicles and operating equipment, Phase 1 share</t>
        </is>
      </c>
      <c r="B33" s="37" t="inlineStr">
        <is>
          <t>Phase 1</t>
        </is>
      </c>
      <c r="C33" s="24" t="inlineStr">
        <is>
          <t>Input x Phase 1 share</t>
        </is>
      </c>
      <c r="D33" s="38">
        <f>Assumptions!$E$59*Assumptions!$E$60</f>
        <v/>
      </c>
      <c r="E33" s="38">
        <f>Assumptions!$F$59*Assumptions!$F$60</f>
        <v/>
      </c>
      <c r="F33" s="38">
        <f>Assumptions!$G$59*Assumptions!$G$60</f>
        <v/>
      </c>
      <c r="G33" s="38">
        <f>Assumptions!$H$59*Assumptions!$H$60</f>
        <v/>
      </c>
    </row>
    <row r="34">
      <c r="A34" s="37" t="inlineStr">
        <is>
          <t>Soft costs, Phase 1 (design, engineering, acoustics, permits, fees, PM)</t>
        </is>
      </c>
      <c r="B34" s="37" t="inlineStr">
        <is>
          <t>Phase 1</t>
        </is>
      </c>
      <c r="C34" s="24" t="inlineStr">
        <is>
          <t>Soft share x site-built + cabin soft share x cabins</t>
        </is>
      </c>
      <c r="D34" s="38">
        <f>Assumptions!$E$32*SUM(D23:D25,D28,D31:D32)+Assumptions!$E$28*D27</f>
        <v/>
      </c>
      <c r="E34" s="38">
        <f>Assumptions!$F$32*SUM(E23:E25,E28,E31:E32)+Assumptions!$F$28*E27</f>
        <v/>
      </c>
      <c r="F34" s="38">
        <f>Assumptions!$G$32*SUM(F23:F25,F28,F31:F32)+Assumptions!$G$28*F27</f>
        <v/>
      </c>
      <c r="G34" s="38">
        <f>Assumptions!$H$32*SUM(G23:G25,G28,G31:G32)+Assumptions!$H$28*G27</f>
        <v/>
      </c>
    </row>
    <row r="35">
      <c r="A35" s="37" t="inlineStr">
        <is>
          <t>Contingency, Phase 1</t>
        </is>
      </c>
      <c r="B35" s="37" t="inlineStr">
        <is>
          <t>Phase 1</t>
        </is>
      </c>
      <c r="C35" s="24" t="inlineStr">
        <is>
          <t>Contingency share x Phase 1 costs excl. land</t>
        </is>
      </c>
      <c r="D35" s="38">
        <f>Assumptions!$E$33*SUM(D23:D29,D31:D34)</f>
        <v/>
      </c>
      <c r="E35" s="38">
        <f>Assumptions!$F$33*SUM(E23:E29,E31:E34)</f>
        <v/>
      </c>
      <c r="F35" s="38">
        <f>Assumptions!$G$33*SUM(F23:F29,F31:F34)</f>
        <v/>
      </c>
      <c r="G35" s="38">
        <f>Assumptions!$H$33*SUM(G23:G29,G31:G34)</f>
        <v/>
      </c>
    </row>
    <row r="36">
      <c r="A36" s="40" t="inlineStr">
        <is>
          <t>Phase 1 subtotal</t>
        </is>
      </c>
      <c r="B36" s="40" t="inlineStr">
        <is>
          <t>Phase 1</t>
        </is>
      </c>
      <c r="C36" s="41" t="inlineStr"/>
      <c r="D36" s="42">
        <f>SUM(D21:D35)</f>
        <v/>
      </c>
      <c r="E36" s="42">
        <f>SUM(E21:E35)</f>
        <v/>
      </c>
      <c r="F36" s="42">
        <f>SUM(F21:F35)</f>
        <v/>
      </c>
      <c r="G36" s="42">
        <f>SUM(G21:G35)</f>
        <v/>
      </c>
    </row>
    <row r="37">
      <c r="A37" s="7" t="inlineStr">
        <is>
          <t>USES  -  Phase 2 (built 2029, opens 2030 with Phase 1): the studio and the house</t>
        </is>
      </c>
      <c r="B37" s="8" t="n"/>
      <c r="C37" s="8" t="n"/>
      <c r="D37" s="8" t="n"/>
      <c r="E37" s="8" t="n"/>
      <c r="F37" s="8" t="n"/>
      <c r="G37" s="8" t="n"/>
    </row>
    <row r="38">
      <c r="A38" s="37" t="inlineStr">
        <is>
          <t>Site infrastructure, Phase 2 share</t>
        </is>
      </c>
      <c r="B38" s="37" t="inlineStr">
        <is>
          <t>Phase 2</t>
        </is>
      </c>
      <c r="C38" s="24" t="inlineStr">
        <is>
          <t>California research x Phase 2 share</t>
        </is>
      </c>
      <c r="D38" s="38">
        <f>Assumptions!$E$39*Assumptions!$E$41</f>
        <v/>
      </c>
      <c r="E38" s="38">
        <f>Assumptions!$F$39*Assumptions!$F$41</f>
        <v/>
      </c>
      <c r="F38" s="38">
        <f>Assumptions!$G$39*Assumptions!$G$41</f>
        <v/>
      </c>
      <c r="G38" s="38">
        <f>Assumptions!$H$39*Assumptions!$H$41</f>
        <v/>
      </c>
    </row>
    <row r="39">
      <c r="A39" s="37" t="inlineStr">
        <is>
          <t>Recording studio, 2,500 sf, building and acoustic fit-out</t>
        </is>
      </c>
      <c r="B39" s="37" t="inlineStr">
        <is>
          <t>Phase 2</t>
        </is>
      </c>
      <c r="C39" s="24" t="inlineStr">
        <is>
          <t>Input (research, Ojai hard cost)</t>
        </is>
      </c>
      <c r="D39" s="38">
        <f>Assumptions!$E$62</f>
        <v/>
      </c>
      <c r="E39" s="38">
        <f>Assumptions!$F$62</f>
        <v/>
      </c>
      <c r="F39" s="38">
        <f>Assumptions!$G$62</f>
        <v/>
      </c>
      <c r="G39" s="38">
        <f>Assumptions!$H$62</f>
        <v/>
      </c>
    </row>
    <row r="40">
      <c r="A40" s="37" t="inlineStr">
        <is>
          <t>Studio gear and instruments (console, monitoring, microphones, outboard, piano, backline)</t>
        </is>
      </c>
      <c r="B40" s="37" t="inlineStr">
        <is>
          <t>Phase 2</t>
        </is>
      </c>
      <c r="C40" s="24" t="inlineStr">
        <is>
          <t>Input (planning target, installed)</t>
        </is>
      </c>
      <c r="D40" s="38">
        <f>Assumptions!$E$63</f>
        <v/>
      </c>
      <c r="E40" s="38">
        <f>Assumptions!$F$63</f>
        <v/>
      </c>
      <c r="F40" s="38">
        <f>Assumptions!$G$63</f>
        <v/>
      </c>
      <c r="G40" s="38">
        <f>Assumptions!$H$63</f>
        <v/>
      </c>
    </row>
    <row r="41">
      <c r="A41" s="37" t="inlineStr">
        <is>
          <t>Instruments (included in studio gear and instruments)</t>
        </is>
      </c>
      <c r="B41" s="37" t="inlineStr">
        <is>
          <t>Phase 2</t>
        </is>
      </c>
      <c r="C41" s="24" t="inlineStr">
        <is>
          <t>Input (0: inside the gear line)</t>
        </is>
      </c>
      <c r="D41" s="38">
        <f>Assumptions!$E$65</f>
        <v/>
      </c>
      <c r="E41" s="38">
        <f>Assumptions!$F$65</f>
        <v/>
      </c>
      <c r="F41" s="38">
        <f>Assumptions!$G$65</f>
        <v/>
      </c>
      <c r="G41" s="38">
        <f>Assumptions!$H$65</f>
        <v/>
      </c>
    </row>
    <row r="42">
      <c r="A42" s="37" t="inlineStr">
        <is>
          <t>Arcana cabins, Phase 2 (none: all 12 are in Phase 1)</t>
        </is>
      </c>
      <c r="B42" s="37" t="inlineStr">
        <is>
          <t>Phase 2</t>
        </is>
      </c>
      <c r="C42" s="24" t="inlineStr">
        <is>
          <t>(Total - Phase 1 cabins) x installed cost</t>
        </is>
      </c>
      <c r="D42" s="38">
        <f>(Assumptions!$E$16-Assumptions!$E$17)*D15</f>
        <v/>
      </c>
      <c r="E42" s="38">
        <f>(Assumptions!$F$16-Assumptions!$F$17)*E15</f>
        <v/>
      </c>
      <c r="F42" s="38">
        <f>(Assumptions!$G$16-Assumptions!$G$17)*F15</f>
        <v/>
      </c>
      <c r="G42" s="38">
        <f>(Assumptions!$H$16-Assumptions!$H$17)*G15</f>
        <v/>
      </c>
    </row>
    <row r="43">
      <c r="A43" s="37" t="inlineStr">
        <is>
          <t>Residence and home, 3,000 sf</t>
        </is>
      </c>
      <c r="B43" s="37" t="inlineStr">
        <is>
          <t>Phase 2</t>
        </is>
      </c>
      <c r="C43" s="24" t="inlineStr">
        <is>
          <t>Input (research, Ojai hard cost)</t>
        </is>
      </c>
      <c r="D43" s="38">
        <f>Assumptions!$E$64</f>
        <v/>
      </c>
      <c r="E43" s="38">
        <f>Assumptions!$F$64</f>
        <v/>
      </c>
      <c r="F43" s="38">
        <f>Assumptions!$G$64</f>
        <v/>
      </c>
      <c r="G43" s="38">
        <f>Assumptions!$H$64</f>
        <v/>
      </c>
    </row>
    <row r="44">
      <c r="A44" s="37" t="inlineStr">
        <is>
          <t>Maintenance building and staff unit, Phase 2 share (none)</t>
        </is>
      </c>
      <c r="B44" s="37" t="inlineStr">
        <is>
          <t>Phase 2</t>
        </is>
      </c>
      <c r="C44" s="24" t="inlineStr">
        <is>
          <t>Input x Phase 2 share</t>
        </is>
      </c>
      <c r="D44" s="38">
        <f>Assumptions!$E$54*(1-Assumptions!$E$55)</f>
        <v/>
      </c>
      <c r="E44" s="38">
        <f>Assumptions!$F$54*(1-Assumptions!$F$55)</f>
        <v/>
      </c>
      <c r="F44" s="38">
        <f>Assumptions!$G$54*(1-Assumptions!$G$55)</f>
        <v/>
      </c>
      <c r="G44" s="38">
        <f>Assumptions!$H$54*(1-Assumptions!$H$55)</f>
        <v/>
      </c>
    </row>
    <row r="45">
      <c r="A45" s="37" t="inlineStr">
        <is>
          <t>Landscaping and artwork, Phase 2 share</t>
        </is>
      </c>
      <c r="B45" s="37" t="inlineStr">
        <is>
          <t>Phase 2</t>
        </is>
      </c>
      <c r="C45" s="24" t="inlineStr">
        <is>
          <t>Input (planning target) x Phase 2 share</t>
        </is>
      </c>
      <c r="D45" s="38">
        <f>Assumptions!$E$56*Assumptions!$E$58</f>
        <v/>
      </c>
      <c r="E45" s="38">
        <f>Assumptions!$F$56*Assumptions!$F$58</f>
        <v/>
      </c>
      <c r="F45" s="38">
        <f>Assumptions!$G$56*Assumptions!$G$58</f>
        <v/>
      </c>
      <c r="G45" s="38">
        <f>Assumptions!$H$56*Assumptions!$H$58</f>
        <v/>
      </c>
    </row>
    <row r="46">
      <c r="A46" s="37" t="inlineStr">
        <is>
          <t>FF&amp;E, Phase 2 share</t>
        </is>
      </c>
      <c r="B46" s="37" t="inlineStr">
        <is>
          <t>Phase 2</t>
        </is>
      </c>
      <c r="C46" s="24" t="inlineStr">
        <is>
          <t>Input x Phase 2 share</t>
        </is>
      </c>
      <c r="D46" s="38">
        <f>Assumptions!$E$59*Assumptions!$E$61</f>
        <v/>
      </c>
      <c r="E46" s="38">
        <f>Assumptions!$F$59*Assumptions!$F$61</f>
        <v/>
      </c>
      <c r="F46" s="38">
        <f>Assumptions!$G$59*Assumptions!$G$61</f>
        <v/>
      </c>
      <c r="G46" s="38">
        <f>Assumptions!$H$59*Assumptions!$H$61</f>
        <v/>
      </c>
    </row>
    <row r="47">
      <c r="A47" s="37" t="inlineStr">
        <is>
          <t>Soft costs, Phase 2</t>
        </is>
      </c>
      <c r="B47" s="37" t="inlineStr">
        <is>
          <t>Phase 2</t>
        </is>
      </c>
      <c r="C47" s="24" t="inlineStr">
        <is>
          <t>Soft share x site-built + cabin soft share x cabins</t>
        </is>
      </c>
      <c r="D47" s="38">
        <f>Assumptions!$E$32*SUM(D38:D39,D43:D45)+Assumptions!$E$28*D42</f>
        <v/>
      </c>
      <c r="E47" s="38">
        <f>Assumptions!$F$32*SUM(E38:E39,E43:E45)+Assumptions!$F$28*E42</f>
        <v/>
      </c>
      <c r="F47" s="38">
        <f>Assumptions!$G$32*SUM(F38:F39,F43:F45)+Assumptions!$G$28*F42</f>
        <v/>
      </c>
      <c r="G47" s="38">
        <f>Assumptions!$H$32*SUM(G38:G39,G43:G45)+Assumptions!$H$28*G42</f>
        <v/>
      </c>
    </row>
    <row r="48">
      <c r="A48" s="37" t="inlineStr">
        <is>
          <t>Contingency, Phase 2</t>
        </is>
      </c>
      <c r="B48" s="37" t="inlineStr">
        <is>
          <t>Phase 2</t>
        </is>
      </c>
      <c r="C48" s="24" t="inlineStr">
        <is>
          <t>Contingency share x Phase 2 costs</t>
        </is>
      </c>
      <c r="D48" s="38">
        <f>Assumptions!$E$33*SUM(D38:D47)</f>
        <v/>
      </c>
      <c r="E48" s="38">
        <f>Assumptions!$F$33*SUM(E38:E47)</f>
        <v/>
      </c>
      <c r="F48" s="38">
        <f>Assumptions!$G$33*SUM(F38:F47)</f>
        <v/>
      </c>
      <c r="G48" s="38">
        <f>Assumptions!$H$33*SUM(G38:G47)</f>
        <v/>
      </c>
    </row>
    <row r="49">
      <c r="A49" s="40" t="inlineStr">
        <is>
          <t>Phase 2 subtotal</t>
        </is>
      </c>
      <c r="B49" s="40" t="inlineStr">
        <is>
          <t>Phase 2</t>
        </is>
      </c>
      <c r="C49" s="41" t="inlineStr"/>
      <c r="D49" s="42">
        <f>SUM(D38:D48)</f>
        <v/>
      </c>
      <c r="E49" s="42">
        <f>SUM(E38:E48)</f>
        <v/>
      </c>
      <c r="F49" s="42">
        <f>SUM(F38:F48)</f>
        <v/>
      </c>
      <c r="G49" s="42">
        <f>SUM(G38:G48)</f>
        <v/>
      </c>
    </row>
    <row r="50">
      <c r="A50" s="7" t="inlineStr">
        <is>
          <t>USES  -  Phase 3 (2030 to 2032, opens 2032): the gallery barn and its kitchen, the rest of the landscaping</t>
        </is>
      </c>
      <c r="B50" s="8" t="n"/>
      <c r="C50" s="8" t="n"/>
      <c r="D50" s="8" t="n"/>
      <c r="E50" s="8" t="n"/>
      <c r="F50" s="8" t="n"/>
      <c r="G50" s="8" t="n"/>
    </row>
    <row r="51">
      <c r="A51" s="37" t="inlineStr">
        <is>
          <t>Site infrastructure, Phase 3 share</t>
        </is>
      </c>
      <c r="B51" s="37" t="inlineStr">
        <is>
          <t>Phase 3</t>
        </is>
      </c>
      <c r="C51" s="24" t="inlineStr">
        <is>
          <t>California research x remaining share</t>
        </is>
      </c>
      <c r="D51" s="38">
        <f>Assumptions!$E$39*(1-Assumptions!$E$40-Assumptions!$E$41)</f>
        <v/>
      </c>
      <c r="E51" s="38">
        <f>Assumptions!$F$39*(1-Assumptions!$F$40-Assumptions!$F$41)</f>
        <v/>
      </c>
      <c r="F51" s="38">
        <f>Assumptions!$G$39*(1-Assumptions!$G$40-Assumptions!$G$41)</f>
        <v/>
      </c>
      <c r="G51" s="38">
        <f>Assumptions!$H$39*(1-Assumptions!$H$40-Assumptions!$H$41)</f>
        <v/>
      </c>
    </row>
    <row r="52">
      <c r="A52" s="37" t="inlineStr">
        <is>
          <t>Listening room and gallery barn, 3,000 sf</t>
        </is>
      </c>
      <c r="B52" s="37" t="inlineStr">
        <is>
          <t>Phase 3</t>
        </is>
      </c>
      <c r="C52" s="24" t="inlineStr">
        <is>
          <t>Input (research, Ojai hard cost)</t>
        </is>
      </c>
      <c r="D52" s="38">
        <f>Assumptions!$E$67</f>
        <v/>
      </c>
      <c r="E52" s="38">
        <f>Assumptions!$F$67</f>
        <v/>
      </c>
      <c r="F52" s="38">
        <f>Assumptions!$G$67</f>
        <v/>
      </c>
      <c r="G52" s="38">
        <f>Assumptions!$H$67</f>
        <v/>
      </c>
    </row>
    <row r="53">
      <c r="A53" s="37" t="inlineStr">
        <is>
          <t>Commercial kitchen in the gallery barn</t>
        </is>
      </c>
      <c r="B53" s="37" t="inlineStr">
        <is>
          <t>Phase 3</t>
        </is>
      </c>
      <c r="C53" s="24" t="inlineStr">
        <is>
          <t>Input (research, Ojai hard cost)</t>
        </is>
      </c>
      <c r="D53" s="38">
        <f>Assumptions!$E$66</f>
        <v/>
      </c>
      <c r="E53" s="38">
        <f>Assumptions!$F$66</f>
        <v/>
      </c>
      <c r="F53" s="38">
        <f>Assumptions!$G$66</f>
        <v/>
      </c>
      <c r="G53" s="38">
        <f>Assumptions!$H$66</f>
        <v/>
      </c>
    </row>
    <row r="54">
      <c r="A54" s="37" t="inlineStr">
        <is>
          <t>Gallery contents (none budgeted)</t>
        </is>
      </c>
      <c r="B54" s="37" t="inlineStr">
        <is>
          <t>Phase 3</t>
        </is>
      </c>
      <c r="C54" s="24" t="inlineStr">
        <is>
          <t>Input (planning choice)</t>
        </is>
      </c>
      <c r="D54" s="38">
        <f>Assumptions!$E$68</f>
        <v/>
      </c>
      <c r="E54" s="38">
        <f>Assumptions!$F$68</f>
        <v/>
      </c>
      <c r="F54" s="38">
        <f>Assumptions!$G$68</f>
        <v/>
      </c>
      <c r="G54" s="38">
        <f>Assumptions!$H$68</f>
        <v/>
      </c>
    </row>
    <row r="55">
      <c r="A55" s="37" t="inlineStr">
        <is>
          <t>Landscaping and artwork, the rest (incl. the commissioned works)</t>
        </is>
      </c>
      <c r="B55" s="37" t="inlineStr">
        <is>
          <t>Phase 3</t>
        </is>
      </c>
      <c r="C55" s="24" t="inlineStr">
        <is>
          <t>Input (planning target) x remaining share</t>
        </is>
      </c>
      <c r="D55" s="38">
        <f>Assumptions!$E$56*(1-Assumptions!$E$57-Assumptions!$E$58)</f>
        <v/>
      </c>
      <c r="E55" s="38">
        <f>Assumptions!$F$56*(1-Assumptions!$F$57-Assumptions!$F$58)</f>
        <v/>
      </c>
      <c r="F55" s="38">
        <f>Assumptions!$G$56*(1-Assumptions!$G$57-Assumptions!$G$58)</f>
        <v/>
      </c>
      <c r="G55" s="38">
        <f>Assumptions!$H$56*(1-Assumptions!$H$57-Assumptions!$H$58)</f>
        <v/>
      </c>
    </row>
    <row r="56">
      <c r="A56" s="37" t="inlineStr">
        <is>
          <t>FF&amp;E, Phase 3 share</t>
        </is>
      </c>
      <c r="B56" s="37" t="inlineStr">
        <is>
          <t>Phase 3</t>
        </is>
      </c>
      <c r="C56" s="24" t="inlineStr">
        <is>
          <t>Input x remaining share</t>
        </is>
      </c>
      <c r="D56" s="38">
        <f>Assumptions!$E$59*(1-Assumptions!$E$60-Assumptions!$E$61)</f>
        <v/>
      </c>
      <c r="E56" s="38">
        <f>Assumptions!$F$59*(1-Assumptions!$F$60-Assumptions!$F$61)</f>
        <v/>
      </c>
      <c r="F56" s="38">
        <f>Assumptions!$G$59*(1-Assumptions!$G$60-Assumptions!$G$61)</f>
        <v/>
      </c>
      <c r="G56" s="38">
        <f>Assumptions!$H$59*(1-Assumptions!$H$60-Assumptions!$H$61)</f>
        <v/>
      </c>
    </row>
    <row r="57">
      <c r="A57" s="37" t="inlineStr">
        <is>
          <t>Soft costs, Phase 3</t>
        </is>
      </c>
      <c r="B57" s="37" t="inlineStr">
        <is>
          <t>Phase 3</t>
        </is>
      </c>
      <c r="C57" s="24" t="inlineStr">
        <is>
          <t>Soft share x site-built</t>
        </is>
      </c>
      <c r="D57" s="38">
        <f>Assumptions!$E$32*SUM(D51:D53,D55)</f>
        <v/>
      </c>
      <c r="E57" s="38">
        <f>Assumptions!$F$32*SUM(E51:E53,E55)</f>
        <v/>
      </c>
      <c r="F57" s="38">
        <f>Assumptions!$G$32*SUM(F51:F53,F55)</f>
        <v/>
      </c>
      <c r="G57" s="38">
        <f>Assumptions!$H$32*SUM(G51:G53,G55)</f>
        <v/>
      </c>
    </row>
    <row r="58">
      <c r="A58" s="37" t="inlineStr">
        <is>
          <t>Contingency, Phase 3</t>
        </is>
      </c>
      <c r="B58" s="37" t="inlineStr">
        <is>
          <t>Phase 3</t>
        </is>
      </c>
      <c r="C58" s="24" t="inlineStr">
        <is>
          <t>Contingency share x Phase 3 costs</t>
        </is>
      </c>
      <c r="D58" s="38">
        <f>Assumptions!$E$33*SUM(D51:D57)</f>
        <v/>
      </c>
      <c r="E58" s="38">
        <f>Assumptions!$F$33*SUM(E51:E57)</f>
        <v/>
      </c>
      <c r="F58" s="38">
        <f>Assumptions!$G$33*SUM(F51:F57)</f>
        <v/>
      </c>
      <c r="G58" s="38">
        <f>Assumptions!$H$33*SUM(G51:G57)</f>
        <v/>
      </c>
    </row>
    <row r="59">
      <c r="A59" s="40" t="inlineStr">
        <is>
          <t>Phase 3 subtotal</t>
        </is>
      </c>
      <c r="B59" s="40" t="inlineStr">
        <is>
          <t>Phase 3</t>
        </is>
      </c>
      <c r="C59" s="41" t="inlineStr"/>
      <c r="D59" s="42">
        <f>SUM(D51:D58)</f>
        <v/>
      </c>
      <c r="E59" s="42">
        <f>SUM(E51:E58)</f>
        <v/>
      </c>
      <c r="F59" s="42">
        <f>SUM(F51:F58)</f>
        <v/>
      </c>
      <c r="G59" s="42">
        <f>SUM(G51:G58)</f>
        <v/>
      </c>
    </row>
    <row r="60">
      <c r="A60" s="43" t="inlineStr">
        <is>
          <t>TOTAL PROJECT COST (capital, 2026 USD)</t>
        </is>
      </c>
      <c r="B60" s="43" t="inlineStr"/>
      <c r="C60" s="44" t="inlineStr">
        <is>
          <t>Stage 0 and Phases 1 to 3</t>
        </is>
      </c>
      <c r="D60" s="45">
        <f>SUM(D19,D36,D49,D59)</f>
        <v/>
      </c>
      <c r="E60" s="45">
        <f>SUM(E19,E36,E49,E59)</f>
        <v/>
      </c>
      <c r="F60" s="45">
        <f>SUM(F19,F36,F49,F59)</f>
        <v/>
      </c>
      <c r="G60" s="45">
        <f>SUM(G19,G36,G49,G59)</f>
        <v/>
      </c>
    </row>
    <row r="61">
      <c r="A61" s="7" t="inlineStr">
        <is>
          <t>USES  -  Pre-opening, development and reserve</t>
        </is>
      </c>
      <c r="B61" s="8" t="n"/>
      <c r="C61" s="8" t="n"/>
      <c r="D61" s="8" t="n"/>
      <c r="E61" s="8" t="n"/>
      <c r="F61" s="8" t="n"/>
      <c r="G61" s="8" t="n"/>
    </row>
    <row r="62">
      <c r="A62" s="37" t="inlineStr">
        <is>
          <t>Development-period overhead until Phase 1 opens</t>
        </is>
      </c>
      <c r="B62" s="37" t="inlineStr">
        <is>
          <t>Pre-opening</t>
        </is>
      </c>
      <c r="C62" s="24" t="inlineStr">
        <is>
          <t>Per year x years from land to opening</t>
        </is>
      </c>
      <c r="D62" s="38">
        <f>Assumptions!$E$72*(Assumptions!$E$9-Assumptions!$E$8)</f>
        <v/>
      </c>
      <c r="E62" s="38">
        <f>Assumptions!$F$72*(Assumptions!$F$9-Assumptions!$F$8)</f>
        <v/>
      </c>
      <c r="F62" s="38">
        <f>Assumptions!$G$72*(Assumptions!$G$9-Assumptions!$G$8)</f>
        <v/>
      </c>
      <c r="G62" s="38">
        <f>Assumptions!$H$72*(Assumptions!$H$9-Assumptions!$H$8)</f>
        <v/>
      </c>
    </row>
    <row r="63">
      <c r="A63" s="37" t="inlineStr">
        <is>
          <t>Pre-opening, Phase 1 (hiring, training, launch, supplies)</t>
        </is>
      </c>
      <c r="B63" s="37" t="inlineStr">
        <is>
          <t>Pre-opening</t>
        </is>
      </c>
      <c r="C63" s="24" t="inlineStr">
        <is>
          <t>Input</t>
        </is>
      </c>
      <c r="D63" s="38">
        <f>Assumptions!$E$69</f>
        <v/>
      </c>
      <c r="E63" s="38">
        <f>Assumptions!$F$69</f>
        <v/>
      </c>
      <c r="F63" s="38">
        <f>Assumptions!$G$69</f>
        <v/>
      </c>
      <c r="G63" s="38">
        <f>Assumptions!$H$69</f>
        <v/>
      </c>
    </row>
    <row r="64">
      <c r="A64" s="37" t="inlineStr">
        <is>
          <t>Pre-opening, Phase 2</t>
        </is>
      </c>
      <c r="B64" s="37" t="inlineStr">
        <is>
          <t>Pre-opening</t>
        </is>
      </c>
      <c r="C64" s="24" t="inlineStr">
        <is>
          <t>Input</t>
        </is>
      </c>
      <c r="D64" s="38">
        <f>Assumptions!$E$70</f>
        <v/>
      </c>
      <c r="E64" s="38">
        <f>Assumptions!$F$70</f>
        <v/>
      </c>
      <c r="F64" s="38">
        <f>Assumptions!$G$70</f>
        <v/>
      </c>
      <c r="G64" s="38">
        <f>Assumptions!$H$70</f>
        <v/>
      </c>
    </row>
    <row r="65">
      <c r="A65" s="37" t="inlineStr">
        <is>
          <t>Pre-opening, Phase 3</t>
        </is>
      </c>
      <c r="B65" s="37" t="inlineStr">
        <is>
          <t>Pre-opening</t>
        </is>
      </c>
      <c r="C65" s="24" t="inlineStr">
        <is>
          <t>Input</t>
        </is>
      </c>
      <c r="D65" s="38">
        <f>Assumptions!$E$71</f>
        <v/>
      </c>
      <c r="E65" s="38">
        <f>Assumptions!$F$71</f>
        <v/>
      </c>
      <c r="F65" s="38">
        <f>Assumptions!$G$71</f>
        <v/>
      </c>
      <c r="G65" s="38">
        <f>Assumptions!$H$71</f>
        <v/>
      </c>
    </row>
    <row r="66">
      <c r="A66" s="40" t="inlineStr">
        <is>
          <t>Pre-opening and development subtotal</t>
        </is>
      </c>
      <c r="B66" s="40" t="inlineStr">
        <is>
          <t>Pre-opening</t>
        </is>
      </c>
      <c r="C66" s="41" t="inlineStr"/>
      <c r="D66" s="42">
        <f>SUM(D62:D65)</f>
        <v/>
      </c>
      <c r="E66" s="42">
        <f>SUM(E62:E65)</f>
        <v/>
      </c>
      <c r="F66" s="42">
        <f>SUM(F62:F65)</f>
        <v/>
      </c>
      <c r="G66" s="42">
        <f>SUM(G62:G65)</f>
        <v/>
      </c>
    </row>
    <row r="67">
      <c r="A67" s="37" t="inlineStr">
        <is>
          <t>Operating reserve (months of stabilized operating expenses)</t>
        </is>
      </c>
      <c r="B67" s="37" t="inlineStr">
        <is>
          <t>Reserve</t>
        </is>
      </c>
      <c r="C67" s="24" t="inlineStr">
        <is>
          <t>Months / 12 x stabilized opex (pro forma)</t>
        </is>
      </c>
      <c r="D67" s="38">
        <f>Assumptions!$E$73/12*'PF Low'!$L$99</f>
        <v/>
      </c>
      <c r="E67" s="38">
        <f>Assumptions!$F$73/12*'Pro Forma'!$L$99</f>
        <v/>
      </c>
      <c r="F67" s="38">
        <f>Assumptions!$G$73/12*'PF High'!$L$99</f>
        <v/>
      </c>
      <c r="G67" s="38">
        <f>Assumptions!$H$73/12*'PF Stress'!$L$99</f>
        <v/>
      </c>
    </row>
    <row r="68">
      <c r="A68" s="43" t="inlineStr">
        <is>
          <t>TOTAL USES OF FUNDS</t>
        </is>
      </c>
      <c r="B68" s="43" t="inlineStr"/>
      <c r="C68" s="44" t="inlineStr">
        <is>
          <t>Project cost + pre-opening + reserve</t>
        </is>
      </c>
      <c r="D68" s="45">
        <f>SUM(D60,D66:D67)</f>
        <v/>
      </c>
      <c r="E68" s="45">
        <f>SUM(E60,E66:E67)</f>
        <v/>
      </c>
      <c r="F68" s="45">
        <f>SUM(F60,F66:F67)</f>
        <v/>
      </c>
      <c r="G68" s="45">
        <f>SUM(G60,G66:G67)</f>
        <v/>
      </c>
    </row>
    <row r="69">
      <c r="A69" s="7" t="inlineStr">
        <is>
          <t>Asset values used by the pro forma</t>
        </is>
      </c>
      <c r="B69" s="8" t="n"/>
      <c r="C69" s="8" t="n"/>
      <c r="D69" s="8" t="n"/>
      <c r="E69" s="8" t="n"/>
      <c r="F69" s="8" t="n"/>
      <c r="G69" s="8" t="n"/>
    </row>
    <row r="70">
      <c r="A70" s="39" t="inlineStr">
        <is>
          <t>Phase 1 replacement value (insured, maintained)</t>
        </is>
      </c>
      <c r="B70" s="37" t="inlineStr">
        <is>
          <t>Phase 1</t>
        </is>
      </c>
      <c r="C70" s="24" t="inlineStr">
        <is>
          <t>Hard, cabins, equipment, FF&amp;E</t>
        </is>
      </c>
      <c r="D70" s="38">
        <f>SUM(D23:D28,D31:D33)</f>
        <v/>
      </c>
      <c r="E70" s="38">
        <f>SUM(E23:E28,E31:E33)</f>
        <v/>
      </c>
      <c r="F70" s="38">
        <f>SUM(F23:F28,F31:F33)</f>
        <v/>
      </c>
      <c r="G70" s="38">
        <f>SUM(G23:G28,G31:G33)</f>
        <v/>
      </c>
    </row>
    <row r="71">
      <c r="A71" s="39" t="inlineStr">
        <is>
          <t>Phase 2 replacement value</t>
        </is>
      </c>
      <c r="B71" s="37" t="inlineStr">
        <is>
          <t>Phase 2</t>
        </is>
      </c>
      <c r="C71" s="24" t="inlineStr">
        <is>
          <t>Hard, cabins, equipment, FF&amp;E</t>
        </is>
      </c>
      <c r="D71" s="38">
        <f>SUM(D38:D46)</f>
        <v/>
      </c>
      <c r="E71" s="38">
        <f>SUM(E38:E46)</f>
        <v/>
      </c>
      <c r="F71" s="38">
        <f>SUM(F38:F46)</f>
        <v/>
      </c>
      <c r="G71" s="38">
        <f>SUM(G38:G46)</f>
        <v/>
      </c>
    </row>
    <row r="72">
      <c r="A72" s="39" t="inlineStr">
        <is>
          <t>Phase 3 replacement value</t>
        </is>
      </c>
      <c r="B72" s="37" t="inlineStr">
        <is>
          <t>Phase 3</t>
        </is>
      </c>
      <c r="C72" s="24" t="inlineStr">
        <is>
          <t>Hard, equipment, FF&amp;E</t>
        </is>
      </c>
      <c r="D72" s="38">
        <f>SUM(D51:D56)</f>
        <v/>
      </c>
      <c r="E72" s="38">
        <f>SUM(E51:E56)</f>
        <v/>
      </c>
      <c r="F72" s="38">
        <f>SUM(F51:F56)</f>
        <v/>
      </c>
      <c r="G72" s="38">
        <f>SUM(G51:G56)</f>
        <v/>
      </c>
    </row>
    <row r="73">
      <c r="A73" s="39" t="inlineStr">
        <is>
          <t>Phase 1 capitalized cost (assessed, excl. land)</t>
        </is>
      </c>
      <c r="B73" s="37" t="inlineStr">
        <is>
          <t>Phase 1</t>
        </is>
      </c>
      <c r="C73" s="24" t="inlineStr">
        <is>
          <t>Phase 1 subtotal - land - closing</t>
        </is>
      </c>
      <c r="D73" s="38">
        <f>D36-D21-D22</f>
        <v/>
      </c>
      <c r="E73" s="38">
        <f>E36-E21-E22</f>
        <v/>
      </c>
      <c r="F73" s="38">
        <f>F36-F21-F22</f>
        <v/>
      </c>
      <c r="G73" s="38">
        <f>G36-G21-G22</f>
        <v/>
      </c>
    </row>
    <row r="74">
      <c r="A74" s="39" t="inlineStr">
        <is>
          <t>Phase 2 capitalized cost (assessed)</t>
        </is>
      </c>
      <c r="B74" s="37" t="inlineStr">
        <is>
          <t>Phase 2</t>
        </is>
      </c>
      <c r="C74" s="24" t="inlineStr">
        <is>
          <t>Phase 2 subtotal</t>
        </is>
      </c>
      <c r="D74" s="38">
        <f>D49</f>
        <v/>
      </c>
      <c r="E74" s="38">
        <f>E49</f>
        <v/>
      </c>
      <c r="F74" s="38">
        <f>F49</f>
        <v/>
      </c>
      <c r="G74" s="38">
        <f>G49</f>
        <v/>
      </c>
    </row>
    <row r="75">
      <c r="A75" s="39" t="inlineStr">
        <is>
          <t>Phase 3 capitalized cost (assessed)</t>
        </is>
      </c>
      <c r="B75" s="37" t="inlineStr">
        <is>
          <t>Phase 3</t>
        </is>
      </c>
      <c r="C75" s="24" t="inlineStr">
        <is>
          <t>Phase 3 subtotal</t>
        </is>
      </c>
      <c r="D75" s="38">
        <f>D59</f>
        <v/>
      </c>
      <c r="E75" s="38">
        <f>E59</f>
        <v/>
      </c>
      <c r="F75" s="38">
        <f>F59</f>
        <v/>
      </c>
      <c r="G75" s="38">
        <f>G59</f>
        <v/>
      </c>
    </row>
    <row r="76">
      <c r="A76" s="7" t="inlineStr">
        <is>
          <t>SOURCES (draft scenario, not a plan)</t>
        </is>
      </c>
      <c r="B76" s="8" t="n"/>
      <c r="C76" s="8" t="n"/>
      <c r="D76" s="8" t="n"/>
      <c r="E76" s="8" t="n"/>
      <c r="F76" s="8" t="n"/>
      <c r="G76" s="8" t="n"/>
    </row>
    <row r="77">
      <c r="A77" s="37" t="inlineStr">
        <is>
          <t>Debt secured on land and cabins</t>
        </is>
      </c>
      <c r="B77" s="37" t="inlineStr"/>
      <c r="C77" s="24" t="inlineStr">
        <is>
          <t>Input (draft)</t>
        </is>
      </c>
      <c r="D77" s="38">
        <f>Assumptions!$E$192</f>
        <v/>
      </c>
      <c r="E77" s="38">
        <f>Assumptions!$F$192</f>
        <v/>
      </c>
      <c r="F77" s="38">
        <f>Assumptions!$G$192</f>
        <v/>
      </c>
      <c r="G77" s="38">
        <f>Assumptions!$H$192</f>
        <v/>
      </c>
    </row>
    <row r="78">
      <c r="A78" s="37" t="inlineStr">
        <is>
          <t>Capital grants</t>
        </is>
      </c>
      <c r="B78" s="37" t="inlineStr"/>
      <c r="C78" s="24" t="inlineStr">
        <is>
          <t>Input (draft)</t>
        </is>
      </c>
      <c r="D78" s="38">
        <f>Assumptions!$E$193</f>
        <v/>
      </c>
      <c r="E78" s="38">
        <f>Assumptions!$F$193</f>
        <v/>
      </c>
      <c r="F78" s="38">
        <f>Assumptions!$G$193</f>
        <v/>
      </c>
      <c r="G78" s="38">
        <f>Assumptions!$H$193</f>
        <v/>
      </c>
    </row>
    <row r="79">
      <c r="A79" s="37" t="inlineStr">
        <is>
          <t>Donations and patrons (capital campaign)</t>
        </is>
      </c>
      <c r="B79" s="37" t="inlineStr"/>
      <c r="C79" s="24" t="inlineStr">
        <is>
          <t>Gift share x (uses - debt - grants)</t>
        </is>
      </c>
      <c r="D79" s="38">
        <f>Assumptions!$E$194*(D68-D77-D78)</f>
        <v/>
      </c>
      <c r="E79" s="38">
        <f>Assumptions!$F$194*(E68-E77-E78)</f>
        <v/>
      </c>
      <c r="F79" s="38">
        <f>Assumptions!$G$194*(F68-F77-F78)</f>
        <v/>
      </c>
      <c r="G79" s="38">
        <f>Assumptions!$H$194*(G68-G77-G78)</f>
        <v/>
      </c>
    </row>
    <row r="80">
      <c r="A80" s="37" t="inlineStr">
        <is>
          <t>Founder and investor equity</t>
        </is>
      </c>
      <c r="B80" s="37" t="inlineStr"/>
      <c r="C80" s="24" t="inlineStr">
        <is>
          <t>Remainder</t>
        </is>
      </c>
      <c r="D80" s="38">
        <f>D68-D77-D78-D79</f>
        <v/>
      </c>
      <c r="E80" s="38">
        <f>E68-E77-E78-E79</f>
        <v/>
      </c>
      <c r="F80" s="38">
        <f>F68-F77-F78-F79</f>
        <v/>
      </c>
      <c r="G80" s="38">
        <f>G68-G77-G78-G79</f>
        <v/>
      </c>
    </row>
    <row r="81">
      <c r="A81" s="43" t="inlineStr">
        <is>
          <t>TOTAL SOURCES</t>
        </is>
      </c>
      <c r="B81" s="43" t="inlineStr"/>
      <c r="C81" s="44" t="inlineStr"/>
      <c r="D81" s="45">
        <f>SUM(D77:D80)</f>
        <v/>
      </c>
      <c r="E81" s="45">
        <f>SUM(E77:E80)</f>
        <v/>
      </c>
      <c r="F81" s="45">
        <f>SUM(F77:F80)</f>
        <v/>
      </c>
      <c r="G81" s="45">
        <f>SUM(G77:G80)</f>
        <v/>
      </c>
    </row>
    <row r="82">
      <c r="A82" s="39" t="inlineStr">
        <is>
          <t>Check: sources minus uses (should be 0)</t>
        </is>
      </c>
      <c r="B82" s="37" t="inlineStr"/>
      <c r="C82" s="24" t="inlineStr"/>
      <c r="D82" s="38">
        <f>D81-D68</f>
        <v/>
      </c>
      <c r="E82" s="38">
        <f>E81-E68</f>
        <v/>
      </c>
      <c r="F82" s="38">
        <f>F81-F68</f>
        <v/>
      </c>
      <c r="G82" s="38">
        <f>G81-G68</f>
        <v/>
      </c>
    </row>
    <row r="83">
      <c r="A83" s="7" t="inlineStr">
        <is>
          <t>Memo</t>
        </is>
      </c>
      <c r="B83" s="8" t="n"/>
      <c r="C83" s="8" t="n"/>
      <c r="D83" s="8" t="n"/>
      <c r="E83" s="8" t="n"/>
      <c r="F83" s="8" t="n"/>
      <c r="G83" s="8" t="n"/>
    </row>
    <row r="84">
      <c r="A84" s="39" t="inlineStr">
        <is>
          <t>Indicative annual debt service</t>
        </is>
      </c>
      <c r="B84" s="37" t="inlineStr"/>
      <c r="C84" s="24" t="inlineStr">
        <is>
          <t>Debt x rate / (1 - (1 + rate)^-term)</t>
        </is>
      </c>
      <c r="D84" s="38">
        <f>Assumptions!$E$192*Assumptions!$E$195/(1-(1+Assumptions!$E$195)^-Assumptions!$E$196)</f>
        <v/>
      </c>
      <c r="E84" s="38">
        <f>Assumptions!$F$192*Assumptions!$F$195/(1-(1+Assumptions!$F$195)^-Assumptions!$F$196)</f>
        <v/>
      </c>
      <c r="F84" s="38">
        <f>Assumptions!$G$192*Assumptions!$G$195/(1-(1+Assumptions!$G$195)^-Assumptions!$G$196)</f>
        <v/>
      </c>
      <c r="G84" s="38">
        <f>Assumptions!$H$192*Assumptions!$H$195/(1-(1+Assumptions!$H$195)^-Assumptions!$H$196)</f>
        <v/>
      </c>
    </row>
    <row r="85">
      <c r="A85" s="39" t="inlineStr">
        <is>
          <t>Peak funding need through 2036 (pro forma low point)</t>
        </is>
      </c>
      <c r="B85" s="37" t="inlineStr"/>
      <c r="C85" s="24" t="inlineStr">
        <is>
          <t>-MIN(cumulative cash)</t>
        </is>
      </c>
      <c r="D85" s="38">
        <f>-MIN('PF Low'!$B$105:$K$105)</f>
        <v/>
      </c>
      <c r="E85" s="38">
        <f>-MIN('Pro Forma'!$B$105:$K$105)</f>
        <v/>
      </c>
      <c r="F85" s="38">
        <f>-MIN('PF High'!$B$105:$K$105)</f>
        <v/>
      </c>
      <c r="G85" s="38">
        <f>-MIN('PF Stress'!$B$105:$K$105)</f>
        <v/>
      </c>
    </row>
    <row r="86">
      <c r="A86" s="39" t="inlineStr">
        <is>
          <t>Stabilized result after contributed income (pro forma)</t>
        </is>
      </c>
      <c r="B86" s="37" t="inlineStr"/>
      <c r="C86" s="24" t="inlineStr">
        <is>
          <t>Pro forma, stabilized</t>
        </is>
      </c>
      <c r="D86" s="38">
        <f>'PF Low'!$L$102</f>
        <v/>
      </c>
      <c r="E86" s="38">
        <f>'Pro Forma'!$L$102</f>
        <v/>
      </c>
      <c r="F86" s="38">
        <f>'PF High'!$L$102</f>
        <v/>
      </c>
      <c r="G86" s="38">
        <f>'PF Stress'!$L$102</f>
        <v/>
      </c>
    </row>
    <row r="87">
      <c r="A87" s="39" t="inlineStr">
        <is>
          <t>Endowment to close the stabilized gap</t>
        </is>
      </c>
      <c r="B87" s="37" t="inlineStr"/>
      <c r="C87" s="24" t="inlineStr">
        <is>
          <t>MAX(0, -gap) / draw rate</t>
        </is>
      </c>
      <c r="D87" s="38">
        <f>MAX(0,-D86)/Assumptions!$E$190</f>
        <v/>
      </c>
      <c r="E87" s="38">
        <f>MAX(0,-E86)/Assumptions!$F$190</f>
        <v/>
      </c>
      <c r="F87" s="38">
        <f>MAX(0,-F86)/Assumptions!$G$190</f>
        <v/>
      </c>
      <c r="G87" s="38">
        <f>MAX(0,-G86)/Assumptions!$H$190</f>
        <v/>
      </c>
    </row>
  </sheetData>
  <pageMargins left="0.75" right="0.75" top="1" bottom="1" header="0.5" footer="0.5"/>
  <pageSetup orientation="landscape" fitToWidth="1"/>
</worksheet>
</file>

<file path=xl/worksheets/sheet5.xml><?xml version="1.0" encoding="utf-8"?>
<worksheet xmlns="http://schemas.openxmlformats.org/spreadsheetml/2006/main">
  <sheetPr>
    <outlinePr summaryBelow="1" summaryRight="1"/>
    <pageSetUpPr fitToPage="1"/>
  </sheetPr>
  <dimension ref="A1:P181"/>
  <sheetViews>
    <sheetView showGridLines="0" workbookViewId="0">
      <pane xSplit="3" ySplit="3" topLeftCell="D4" activePane="bottomRight" state="frozen"/>
      <selection pane="topRight"/>
      <selection pane="bottomLeft"/>
      <selection pane="bottomRight" activeCell="A1" sqref="A1"/>
    </sheetView>
  </sheetViews>
  <sheetFormatPr baseColWidth="8" defaultRowHeight="15"/>
  <cols>
    <col width="66" customWidth="1" min="1" max="1"/>
    <col width="11" customWidth="1" min="2" max="2"/>
    <col width="22" customWidth="1" min="3" max="3"/>
    <col width="12" customWidth="1" min="4" max="4"/>
    <col width="12" customWidth="1" min="5" max="5"/>
    <col width="12" customWidth="1" min="6" max="6"/>
    <col width="12" customWidth="1" min="7" max="7"/>
    <col width="12" customWidth="1" min="8" max="8"/>
    <col width="12" customWidth="1" min="9" max="9"/>
    <col width="12" customWidth="1" min="10" max="10"/>
    <col width="12" customWidth="1" min="11" max="11"/>
    <col width="12" customWidth="1" min="12" max="12"/>
    <col width="12" customWidth="1" min="13" max="13"/>
    <col width="12" customWidth="1" min="14" max="14"/>
    <col width="12" customWidth="1" min="15" max="15"/>
    <col width="12" customWidth="1" min="16" max="16"/>
  </cols>
  <sheetData>
    <row r="1">
      <c r="A1" s="1" t="inlineStr">
        <is>
          <t>Bastion  -  Capital and pre-opening uses by year</t>
        </is>
      </c>
    </row>
    <row r="2">
      <c r="A2" s="2" t="inlineStr">
        <is>
          <t>Stage 0 ground, studies and permits (2027 to 2028); Phases 1 and 2 built in 2029 and open in 2030 (land, amphitheater, sound, bathhouse, the 12 cabins, the studio and the house); Phase 3 the gallery barn and its kitchen and the rest of the landscaping, 2030 to 2032. Timing shares are inputs on the Assumptions sheet.</t>
        </is>
      </c>
    </row>
    <row r="4">
      <c r="A4" s="46" t="inlineStr">
        <is>
          <t>BASE  -  Base: 12 cabins on 25 acres and USD 1.5M of land, Low California prices (simple, well-built buildings, an easy parcel, a clean permit), base demand</t>
        </is>
      </c>
    </row>
    <row r="5">
      <c r="A5" s="3" t="inlineStr">
        <is>
          <t>Item</t>
        </is>
      </c>
      <c r="B5" s="4" t="inlineStr">
        <is>
          <t>Phase</t>
        </is>
      </c>
      <c r="C5" s="4" t="inlineStr">
        <is>
          <t>Timing</t>
        </is>
      </c>
      <c r="D5" s="4" t="n">
        <v>2027</v>
      </c>
      <c r="E5" s="4" t="n">
        <v>2028</v>
      </c>
      <c r="F5" s="4" t="n">
        <v>2029</v>
      </c>
      <c r="G5" s="4" t="n">
        <v>2030</v>
      </c>
      <c r="H5" s="4" t="n">
        <v>2031</v>
      </c>
      <c r="I5" s="4" t="n">
        <v>2032</v>
      </c>
      <c r="J5" s="4" t="n">
        <v>2033</v>
      </c>
      <c r="K5" s="4" t="n">
        <v>2034</v>
      </c>
      <c r="L5" s="4" t="n">
        <v>2035</v>
      </c>
      <c r="M5" s="4" t="n">
        <v>2036</v>
      </c>
      <c r="N5" s="4" t="inlineStr">
        <is>
          <t>Total</t>
        </is>
      </c>
      <c r="O5" s="4" t="inlineStr">
        <is>
          <t>S&amp;U amount</t>
        </is>
      </c>
      <c r="P5" s="4" t="inlineStr">
        <is>
          <t>Check</t>
        </is>
      </c>
    </row>
    <row r="6">
      <c r="A6" s="9" t="inlineStr">
        <is>
          <t>Pre-construction approvals: due diligence, studies, camp CUP, CEQA, attorney</t>
        </is>
      </c>
      <c r="B6" s="24" t="inlineStr">
        <is>
          <t>Stage 0</t>
        </is>
      </c>
      <c r="C6" s="24" t="inlineStr">
        <is>
          <t>Land year to +1</t>
        </is>
      </c>
      <c r="D6" s="21">
        <f>'Sources &amp; Uses'!$E$17*((D$5=Assumptions!$F$8)*Assumptions!$F$75+(D$5=Assumptions!$F$8+1)*Assumptions!$F$76+(D$5=Assumptions!$F$8+2)*Assumptions!$F$77+(D$5=Assumptions!$F$8+3)*Assumptions!$F$78)*(1+Assumptions!$F$189)^(D$5-2026)</f>
        <v/>
      </c>
      <c r="E6" s="21">
        <f>'Sources &amp; Uses'!$E$17*((E$5=Assumptions!$F$8)*Assumptions!$F$75+(E$5=Assumptions!$F$8+1)*Assumptions!$F$76+(E$5=Assumptions!$F$8+2)*Assumptions!$F$77+(E$5=Assumptions!$F$8+3)*Assumptions!$F$78)*(1+Assumptions!$F$189)^(E$5-2026)</f>
        <v/>
      </c>
      <c r="F6" s="21">
        <f>'Sources &amp; Uses'!$E$17*((F$5=Assumptions!$F$8)*Assumptions!$F$75+(F$5=Assumptions!$F$8+1)*Assumptions!$F$76+(F$5=Assumptions!$F$8+2)*Assumptions!$F$77+(F$5=Assumptions!$F$8+3)*Assumptions!$F$78)*(1+Assumptions!$F$189)^(F$5-2026)</f>
        <v/>
      </c>
      <c r="G6" s="21">
        <f>'Sources &amp; Uses'!$E$17*((G$5=Assumptions!$F$8)*Assumptions!$F$75+(G$5=Assumptions!$F$8+1)*Assumptions!$F$76+(G$5=Assumptions!$F$8+2)*Assumptions!$F$77+(G$5=Assumptions!$F$8+3)*Assumptions!$F$78)*(1+Assumptions!$F$189)^(G$5-2026)</f>
        <v/>
      </c>
      <c r="H6" s="21">
        <f>'Sources &amp; Uses'!$E$17*((H$5=Assumptions!$F$8)*Assumptions!$F$75+(H$5=Assumptions!$F$8+1)*Assumptions!$F$76+(H$5=Assumptions!$F$8+2)*Assumptions!$F$77+(H$5=Assumptions!$F$8+3)*Assumptions!$F$78)*(1+Assumptions!$F$189)^(H$5-2026)</f>
        <v/>
      </c>
      <c r="I6" s="21">
        <f>'Sources &amp; Uses'!$E$17*((I$5=Assumptions!$F$8)*Assumptions!$F$75+(I$5=Assumptions!$F$8+1)*Assumptions!$F$76+(I$5=Assumptions!$F$8+2)*Assumptions!$F$77+(I$5=Assumptions!$F$8+3)*Assumptions!$F$78)*(1+Assumptions!$F$189)^(I$5-2026)</f>
        <v/>
      </c>
      <c r="J6" s="21">
        <f>'Sources &amp; Uses'!$E$17*((J$5=Assumptions!$F$8)*Assumptions!$F$75+(J$5=Assumptions!$F$8+1)*Assumptions!$F$76+(J$5=Assumptions!$F$8+2)*Assumptions!$F$77+(J$5=Assumptions!$F$8+3)*Assumptions!$F$78)*(1+Assumptions!$F$189)^(J$5-2026)</f>
        <v/>
      </c>
      <c r="K6" s="21">
        <f>'Sources &amp; Uses'!$E$17*((K$5=Assumptions!$F$8)*Assumptions!$F$75+(K$5=Assumptions!$F$8+1)*Assumptions!$F$76+(K$5=Assumptions!$F$8+2)*Assumptions!$F$77+(K$5=Assumptions!$F$8+3)*Assumptions!$F$78)*(1+Assumptions!$F$189)^(K$5-2026)</f>
        <v/>
      </c>
      <c r="L6" s="21">
        <f>'Sources &amp; Uses'!$E$17*((L$5=Assumptions!$F$8)*Assumptions!$F$75+(L$5=Assumptions!$F$8+1)*Assumptions!$F$76+(L$5=Assumptions!$F$8+2)*Assumptions!$F$77+(L$5=Assumptions!$F$8+3)*Assumptions!$F$78)*(1+Assumptions!$F$189)^(L$5-2026)</f>
        <v/>
      </c>
      <c r="M6" s="21">
        <f>'Sources &amp; Uses'!$E$17*((M$5=Assumptions!$F$8)*Assumptions!$F$75+(M$5=Assumptions!$F$8+1)*Assumptions!$F$76+(M$5=Assumptions!$F$8+2)*Assumptions!$F$77+(M$5=Assumptions!$F$8+3)*Assumptions!$F$78)*(1+Assumptions!$F$189)^(M$5-2026)</f>
        <v/>
      </c>
      <c r="N6" s="47">
        <f>SUM(D6:M6)</f>
        <v/>
      </c>
      <c r="O6" s="47">
        <f>'Sources &amp; Uses'!$E$17</f>
        <v/>
      </c>
      <c r="P6" s="47">
        <f>N6-O6</f>
        <v/>
      </c>
    </row>
    <row r="7">
      <c r="A7" s="9" t="inlineStr">
        <is>
          <t>Stage 0 meadow prep, sound trail and pop-up kit</t>
        </is>
      </c>
      <c r="B7" s="24" t="inlineStr">
        <is>
          <t>Stage 0</t>
        </is>
      </c>
      <c r="C7" s="24" t="inlineStr">
        <is>
          <t>Land year + 1</t>
        </is>
      </c>
      <c r="D7" s="21">
        <f>'Sources &amp; Uses'!$E$18*(D$5=Assumptions!$F$8+1)*(1+Assumptions!$F$189)^(D$5-2026)</f>
        <v/>
      </c>
      <c r="E7" s="21">
        <f>'Sources &amp; Uses'!$E$18*(E$5=Assumptions!$F$8+1)*(1+Assumptions!$F$189)^(E$5-2026)</f>
        <v/>
      </c>
      <c r="F7" s="21">
        <f>'Sources &amp; Uses'!$E$18*(F$5=Assumptions!$F$8+1)*(1+Assumptions!$F$189)^(F$5-2026)</f>
        <v/>
      </c>
      <c r="G7" s="21">
        <f>'Sources &amp; Uses'!$E$18*(G$5=Assumptions!$F$8+1)*(1+Assumptions!$F$189)^(G$5-2026)</f>
        <v/>
      </c>
      <c r="H7" s="21">
        <f>'Sources &amp; Uses'!$E$18*(H$5=Assumptions!$F$8+1)*(1+Assumptions!$F$189)^(H$5-2026)</f>
        <v/>
      </c>
      <c r="I7" s="21">
        <f>'Sources &amp; Uses'!$E$18*(I$5=Assumptions!$F$8+1)*(1+Assumptions!$F$189)^(I$5-2026)</f>
        <v/>
      </c>
      <c r="J7" s="21">
        <f>'Sources &amp; Uses'!$E$18*(J$5=Assumptions!$F$8+1)*(1+Assumptions!$F$189)^(J$5-2026)</f>
        <v/>
      </c>
      <c r="K7" s="21">
        <f>'Sources &amp; Uses'!$E$18*(K$5=Assumptions!$F$8+1)*(1+Assumptions!$F$189)^(K$5-2026)</f>
        <v/>
      </c>
      <c r="L7" s="21">
        <f>'Sources &amp; Uses'!$E$18*(L$5=Assumptions!$F$8+1)*(1+Assumptions!$F$189)^(L$5-2026)</f>
        <v/>
      </c>
      <c r="M7" s="21">
        <f>'Sources &amp; Uses'!$E$18*(M$5=Assumptions!$F$8+1)*(1+Assumptions!$F$189)^(M$5-2026)</f>
        <v/>
      </c>
      <c r="N7" s="47">
        <f>SUM(D7:M7)</f>
        <v/>
      </c>
      <c r="O7" s="47">
        <f>'Sources &amp; Uses'!$E$18</f>
        <v/>
      </c>
      <c r="P7" s="47">
        <f>N7-O7</f>
        <v/>
      </c>
    </row>
    <row r="8">
      <c r="A8" s="9" t="inlineStr">
        <is>
          <t>Land (5 to 50 acres, Ojai Valley)</t>
        </is>
      </c>
      <c r="B8" s="24" t="inlineStr">
        <is>
          <t>Phase 1</t>
        </is>
      </c>
      <c r="C8" s="24" t="inlineStr">
        <is>
          <t>Land year</t>
        </is>
      </c>
      <c r="D8" s="21">
        <f>'Sources &amp; Uses'!$E$21*(D$5=Assumptions!$F$8)*(1+Assumptions!$F$189)^(D$5-2026)</f>
        <v/>
      </c>
      <c r="E8" s="21">
        <f>'Sources &amp; Uses'!$E$21*(E$5=Assumptions!$F$8)*(1+Assumptions!$F$189)^(E$5-2026)</f>
        <v/>
      </c>
      <c r="F8" s="21">
        <f>'Sources &amp; Uses'!$E$21*(F$5=Assumptions!$F$8)*(1+Assumptions!$F$189)^(F$5-2026)</f>
        <v/>
      </c>
      <c r="G8" s="21">
        <f>'Sources &amp; Uses'!$E$21*(G$5=Assumptions!$F$8)*(1+Assumptions!$F$189)^(G$5-2026)</f>
        <v/>
      </c>
      <c r="H8" s="21">
        <f>'Sources &amp; Uses'!$E$21*(H$5=Assumptions!$F$8)*(1+Assumptions!$F$189)^(H$5-2026)</f>
        <v/>
      </c>
      <c r="I8" s="21">
        <f>'Sources &amp; Uses'!$E$21*(I$5=Assumptions!$F$8)*(1+Assumptions!$F$189)^(I$5-2026)</f>
        <v/>
      </c>
      <c r="J8" s="21">
        <f>'Sources &amp; Uses'!$E$21*(J$5=Assumptions!$F$8)*(1+Assumptions!$F$189)^(J$5-2026)</f>
        <v/>
      </c>
      <c r="K8" s="21">
        <f>'Sources &amp; Uses'!$E$21*(K$5=Assumptions!$F$8)*(1+Assumptions!$F$189)^(K$5-2026)</f>
        <v/>
      </c>
      <c r="L8" s="21">
        <f>'Sources &amp; Uses'!$E$21*(L$5=Assumptions!$F$8)*(1+Assumptions!$F$189)^(L$5-2026)</f>
        <v/>
      </c>
      <c r="M8" s="21">
        <f>'Sources &amp; Uses'!$E$21*(M$5=Assumptions!$F$8)*(1+Assumptions!$F$189)^(M$5-2026)</f>
        <v/>
      </c>
      <c r="N8" s="47">
        <f>SUM(D8:M8)</f>
        <v/>
      </c>
      <c r="O8" s="47">
        <f>'Sources &amp; Uses'!$E$21</f>
        <v/>
      </c>
      <c r="P8" s="47">
        <f>N8-O8</f>
        <v/>
      </c>
    </row>
    <row r="9">
      <c r="A9" s="9" t="inlineStr">
        <is>
          <t>Land closing costs</t>
        </is>
      </c>
      <c r="B9" s="24" t="inlineStr">
        <is>
          <t>Phase 1</t>
        </is>
      </c>
      <c r="C9" s="24" t="inlineStr">
        <is>
          <t>Land year</t>
        </is>
      </c>
      <c r="D9" s="21">
        <f>'Sources &amp; Uses'!$E$22*(D$5=Assumptions!$F$8)*(1+Assumptions!$F$189)^(D$5-2026)</f>
        <v/>
      </c>
      <c r="E9" s="21">
        <f>'Sources &amp; Uses'!$E$22*(E$5=Assumptions!$F$8)*(1+Assumptions!$F$189)^(E$5-2026)</f>
        <v/>
      </c>
      <c r="F9" s="21">
        <f>'Sources &amp; Uses'!$E$22*(F$5=Assumptions!$F$8)*(1+Assumptions!$F$189)^(F$5-2026)</f>
        <v/>
      </c>
      <c r="G9" s="21">
        <f>'Sources &amp; Uses'!$E$22*(G$5=Assumptions!$F$8)*(1+Assumptions!$F$189)^(G$5-2026)</f>
        <v/>
      </c>
      <c r="H9" s="21">
        <f>'Sources &amp; Uses'!$E$22*(H$5=Assumptions!$F$8)*(1+Assumptions!$F$189)^(H$5-2026)</f>
        <v/>
      </c>
      <c r="I9" s="21">
        <f>'Sources &amp; Uses'!$E$22*(I$5=Assumptions!$F$8)*(1+Assumptions!$F$189)^(I$5-2026)</f>
        <v/>
      </c>
      <c r="J9" s="21">
        <f>'Sources &amp; Uses'!$E$22*(J$5=Assumptions!$F$8)*(1+Assumptions!$F$189)^(J$5-2026)</f>
        <v/>
      </c>
      <c r="K9" s="21">
        <f>'Sources &amp; Uses'!$E$22*(K$5=Assumptions!$F$8)*(1+Assumptions!$F$189)^(K$5-2026)</f>
        <v/>
      </c>
      <c r="L9" s="21">
        <f>'Sources &amp; Uses'!$E$22*(L$5=Assumptions!$F$8)*(1+Assumptions!$F$189)^(L$5-2026)</f>
        <v/>
      </c>
      <c r="M9" s="21">
        <f>'Sources &amp; Uses'!$E$22*(M$5=Assumptions!$F$8)*(1+Assumptions!$F$189)^(M$5-2026)</f>
        <v/>
      </c>
      <c r="N9" s="47">
        <f>SUM(D9:M9)</f>
        <v/>
      </c>
      <c r="O9" s="47">
        <f>'Sources &amp; Uses'!$E$22</f>
        <v/>
      </c>
      <c r="P9" s="47">
        <f>N9-O9</f>
        <v/>
      </c>
    </row>
    <row r="10">
      <c r="A10" s="9" t="inlineStr">
        <is>
          <t>Site infrastructure, Phase 1 share (roads, fire access, water, wastewater, power, data)</t>
        </is>
      </c>
      <c r="B10" s="24" t="inlineStr">
        <is>
          <t>Phase 1</t>
        </is>
      </c>
      <c r="C10" s="24" t="inlineStr">
        <is>
          <t>Opening -1, 0</t>
        </is>
      </c>
      <c r="D10" s="21">
        <f>'Sources &amp; Uses'!$E$23*((D$5=Assumptions!$F$9-2)*Assumptions!$F$87+(D$5=Assumptions!$F$9-1)*Assumptions!$F$88+(D$5=Assumptions!$F$9)*Assumptions!$F$89)*(1+Assumptions!$F$189)^(D$5-2026)</f>
        <v/>
      </c>
      <c r="E10" s="21">
        <f>'Sources &amp; Uses'!$E$23*((E$5=Assumptions!$F$9-2)*Assumptions!$F$87+(E$5=Assumptions!$F$9-1)*Assumptions!$F$88+(E$5=Assumptions!$F$9)*Assumptions!$F$89)*(1+Assumptions!$F$189)^(E$5-2026)</f>
        <v/>
      </c>
      <c r="F10" s="21">
        <f>'Sources &amp; Uses'!$E$23*((F$5=Assumptions!$F$9-2)*Assumptions!$F$87+(F$5=Assumptions!$F$9-1)*Assumptions!$F$88+(F$5=Assumptions!$F$9)*Assumptions!$F$89)*(1+Assumptions!$F$189)^(F$5-2026)</f>
        <v/>
      </c>
      <c r="G10" s="21">
        <f>'Sources &amp; Uses'!$E$23*((G$5=Assumptions!$F$9-2)*Assumptions!$F$87+(G$5=Assumptions!$F$9-1)*Assumptions!$F$88+(G$5=Assumptions!$F$9)*Assumptions!$F$89)*(1+Assumptions!$F$189)^(G$5-2026)</f>
        <v/>
      </c>
      <c r="H10" s="21">
        <f>'Sources &amp; Uses'!$E$23*((H$5=Assumptions!$F$9-2)*Assumptions!$F$87+(H$5=Assumptions!$F$9-1)*Assumptions!$F$88+(H$5=Assumptions!$F$9)*Assumptions!$F$89)*(1+Assumptions!$F$189)^(H$5-2026)</f>
        <v/>
      </c>
      <c r="I10" s="21">
        <f>'Sources &amp; Uses'!$E$23*((I$5=Assumptions!$F$9-2)*Assumptions!$F$87+(I$5=Assumptions!$F$9-1)*Assumptions!$F$88+(I$5=Assumptions!$F$9)*Assumptions!$F$89)*(1+Assumptions!$F$189)^(I$5-2026)</f>
        <v/>
      </c>
      <c r="J10" s="21">
        <f>'Sources &amp; Uses'!$E$23*((J$5=Assumptions!$F$9-2)*Assumptions!$F$87+(J$5=Assumptions!$F$9-1)*Assumptions!$F$88+(J$5=Assumptions!$F$9)*Assumptions!$F$89)*(1+Assumptions!$F$189)^(J$5-2026)</f>
        <v/>
      </c>
      <c r="K10" s="21">
        <f>'Sources &amp; Uses'!$E$23*((K$5=Assumptions!$F$9-2)*Assumptions!$F$87+(K$5=Assumptions!$F$9-1)*Assumptions!$F$88+(K$5=Assumptions!$F$9)*Assumptions!$F$89)*(1+Assumptions!$F$189)^(K$5-2026)</f>
        <v/>
      </c>
      <c r="L10" s="21">
        <f>'Sources &amp; Uses'!$E$23*((L$5=Assumptions!$F$9-2)*Assumptions!$F$87+(L$5=Assumptions!$F$9-1)*Assumptions!$F$88+(L$5=Assumptions!$F$9)*Assumptions!$F$89)*(1+Assumptions!$F$189)^(L$5-2026)</f>
        <v/>
      </c>
      <c r="M10" s="21">
        <f>'Sources &amp; Uses'!$E$23*((M$5=Assumptions!$F$9-2)*Assumptions!$F$87+(M$5=Assumptions!$F$9-1)*Assumptions!$F$88+(M$5=Assumptions!$F$9)*Assumptions!$F$89)*(1+Assumptions!$F$189)^(M$5-2026)</f>
        <v/>
      </c>
      <c r="N10" s="47">
        <f>SUM(D10:M10)</f>
        <v/>
      </c>
      <c r="O10" s="47">
        <f>'Sources &amp; Uses'!$E$23</f>
        <v/>
      </c>
      <c r="P10" s="47">
        <f>N10-O10</f>
        <v/>
      </c>
    </row>
    <row r="11">
      <c r="A11" s="9" t="inlineStr">
        <is>
          <t>Fire water storage, hydrants, shutoff generator, initial fuel clearance</t>
        </is>
      </c>
      <c r="B11" s="24" t="inlineStr">
        <is>
          <t>Phase 1</t>
        </is>
      </c>
      <c r="C11" s="24" t="inlineStr">
        <is>
          <t>Opening -1, 0</t>
        </is>
      </c>
      <c r="D11" s="21">
        <f>'Sources &amp; Uses'!$E$24*((D$5=Assumptions!$F$9-2)*Assumptions!$F$87+(D$5=Assumptions!$F$9-1)*Assumptions!$F$88+(D$5=Assumptions!$F$9)*Assumptions!$F$89)*(1+Assumptions!$F$189)^(D$5-2026)</f>
        <v/>
      </c>
      <c r="E11" s="21">
        <f>'Sources &amp; Uses'!$E$24*((E$5=Assumptions!$F$9-2)*Assumptions!$F$87+(E$5=Assumptions!$F$9-1)*Assumptions!$F$88+(E$5=Assumptions!$F$9)*Assumptions!$F$89)*(1+Assumptions!$F$189)^(E$5-2026)</f>
        <v/>
      </c>
      <c r="F11" s="21">
        <f>'Sources &amp; Uses'!$E$24*((F$5=Assumptions!$F$9-2)*Assumptions!$F$87+(F$5=Assumptions!$F$9-1)*Assumptions!$F$88+(F$5=Assumptions!$F$9)*Assumptions!$F$89)*(1+Assumptions!$F$189)^(F$5-2026)</f>
        <v/>
      </c>
      <c r="G11" s="21">
        <f>'Sources &amp; Uses'!$E$24*((G$5=Assumptions!$F$9-2)*Assumptions!$F$87+(G$5=Assumptions!$F$9-1)*Assumptions!$F$88+(G$5=Assumptions!$F$9)*Assumptions!$F$89)*(1+Assumptions!$F$189)^(G$5-2026)</f>
        <v/>
      </c>
      <c r="H11" s="21">
        <f>'Sources &amp; Uses'!$E$24*((H$5=Assumptions!$F$9-2)*Assumptions!$F$87+(H$5=Assumptions!$F$9-1)*Assumptions!$F$88+(H$5=Assumptions!$F$9)*Assumptions!$F$89)*(1+Assumptions!$F$189)^(H$5-2026)</f>
        <v/>
      </c>
      <c r="I11" s="21">
        <f>'Sources &amp; Uses'!$E$24*((I$5=Assumptions!$F$9-2)*Assumptions!$F$87+(I$5=Assumptions!$F$9-1)*Assumptions!$F$88+(I$5=Assumptions!$F$9)*Assumptions!$F$89)*(1+Assumptions!$F$189)^(I$5-2026)</f>
        <v/>
      </c>
      <c r="J11" s="21">
        <f>'Sources &amp; Uses'!$E$24*((J$5=Assumptions!$F$9-2)*Assumptions!$F$87+(J$5=Assumptions!$F$9-1)*Assumptions!$F$88+(J$5=Assumptions!$F$9)*Assumptions!$F$89)*(1+Assumptions!$F$189)^(J$5-2026)</f>
        <v/>
      </c>
      <c r="K11" s="21">
        <f>'Sources &amp; Uses'!$E$24*((K$5=Assumptions!$F$9-2)*Assumptions!$F$87+(K$5=Assumptions!$F$9-1)*Assumptions!$F$88+(K$5=Assumptions!$F$9)*Assumptions!$F$89)*(1+Assumptions!$F$189)^(K$5-2026)</f>
        <v/>
      </c>
      <c r="L11" s="21">
        <f>'Sources &amp; Uses'!$E$24*((L$5=Assumptions!$F$9-2)*Assumptions!$F$87+(L$5=Assumptions!$F$9-1)*Assumptions!$F$88+(L$5=Assumptions!$F$9)*Assumptions!$F$89)*(1+Assumptions!$F$189)^(L$5-2026)</f>
        <v/>
      </c>
      <c r="M11" s="21">
        <f>'Sources &amp; Uses'!$E$24*((M$5=Assumptions!$F$9-2)*Assumptions!$F$87+(M$5=Assumptions!$F$9-1)*Assumptions!$F$88+(M$5=Assumptions!$F$9)*Assumptions!$F$89)*(1+Assumptions!$F$189)^(M$5-2026)</f>
        <v/>
      </c>
      <c r="N11" s="47">
        <f>SUM(D11:M11)</f>
        <v/>
      </c>
      <c r="O11" s="47">
        <f>'Sources &amp; Uses'!$E$24</f>
        <v/>
      </c>
      <c r="P11" s="47">
        <f>N11-O11</f>
        <v/>
      </c>
    </row>
    <row r="12">
      <c r="A12" s="9" t="inlineStr">
        <is>
          <t>Amphitheater, 150 seats (bowl, stage, canopy, back-of-house, restrooms, lighting)</t>
        </is>
      </c>
      <c r="B12" s="24" t="inlineStr">
        <is>
          <t>Phase 1</t>
        </is>
      </c>
      <c r="C12" s="24" t="inlineStr">
        <is>
          <t>Opening -1, 0</t>
        </is>
      </c>
      <c r="D12" s="21">
        <f>'Sources &amp; Uses'!$E$25*((D$5=Assumptions!$F$9-2)*Assumptions!$F$87+(D$5=Assumptions!$F$9-1)*Assumptions!$F$88+(D$5=Assumptions!$F$9)*Assumptions!$F$89)*(1+Assumptions!$F$189)^(D$5-2026)</f>
        <v/>
      </c>
      <c r="E12" s="21">
        <f>'Sources &amp; Uses'!$E$25*((E$5=Assumptions!$F$9-2)*Assumptions!$F$87+(E$5=Assumptions!$F$9-1)*Assumptions!$F$88+(E$5=Assumptions!$F$9)*Assumptions!$F$89)*(1+Assumptions!$F$189)^(E$5-2026)</f>
        <v/>
      </c>
      <c r="F12" s="21">
        <f>'Sources &amp; Uses'!$E$25*((F$5=Assumptions!$F$9-2)*Assumptions!$F$87+(F$5=Assumptions!$F$9-1)*Assumptions!$F$88+(F$5=Assumptions!$F$9)*Assumptions!$F$89)*(1+Assumptions!$F$189)^(F$5-2026)</f>
        <v/>
      </c>
      <c r="G12" s="21">
        <f>'Sources &amp; Uses'!$E$25*((G$5=Assumptions!$F$9-2)*Assumptions!$F$87+(G$5=Assumptions!$F$9-1)*Assumptions!$F$88+(G$5=Assumptions!$F$9)*Assumptions!$F$89)*(1+Assumptions!$F$189)^(G$5-2026)</f>
        <v/>
      </c>
      <c r="H12" s="21">
        <f>'Sources &amp; Uses'!$E$25*((H$5=Assumptions!$F$9-2)*Assumptions!$F$87+(H$5=Assumptions!$F$9-1)*Assumptions!$F$88+(H$5=Assumptions!$F$9)*Assumptions!$F$89)*(1+Assumptions!$F$189)^(H$5-2026)</f>
        <v/>
      </c>
      <c r="I12" s="21">
        <f>'Sources &amp; Uses'!$E$25*((I$5=Assumptions!$F$9-2)*Assumptions!$F$87+(I$5=Assumptions!$F$9-1)*Assumptions!$F$88+(I$5=Assumptions!$F$9)*Assumptions!$F$89)*(1+Assumptions!$F$189)^(I$5-2026)</f>
        <v/>
      </c>
      <c r="J12" s="21">
        <f>'Sources &amp; Uses'!$E$25*((J$5=Assumptions!$F$9-2)*Assumptions!$F$87+(J$5=Assumptions!$F$9-1)*Assumptions!$F$88+(J$5=Assumptions!$F$9)*Assumptions!$F$89)*(1+Assumptions!$F$189)^(J$5-2026)</f>
        <v/>
      </c>
      <c r="K12" s="21">
        <f>'Sources &amp; Uses'!$E$25*((K$5=Assumptions!$F$9-2)*Assumptions!$F$87+(K$5=Assumptions!$F$9-1)*Assumptions!$F$88+(K$5=Assumptions!$F$9)*Assumptions!$F$89)*(1+Assumptions!$F$189)^(K$5-2026)</f>
        <v/>
      </c>
      <c r="L12" s="21">
        <f>'Sources &amp; Uses'!$E$25*((L$5=Assumptions!$F$9-2)*Assumptions!$F$87+(L$5=Assumptions!$F$9-1)*Assumptions!$F$88+(L$5=Assumptions!$F$9)*Assumptions!$F$89)*(1+Assumptions!$F$189)^(L$5-2026)</f>
        <v/>
      </c>
      <c r="M12" s="21">
        <f>'Sources &amp; Uses'!$E$25*((M$5=Assumptions!$F$9-2)*Assumptions!$F$87+(M$5=Assumptions!$F$9-1)*Assumptions!$F$88+(M$5=Assumptions!$F$9)*Assumptions!$F$89)*(1+Assumptions!$F$189)^(M$5-2026)</f>
        <v/>
      </c>
      <c r="N12" s="47">
        <f>SUM(D12:M12)</f>
        <v/>
      </c>
      <c r="O12" s="47">
        <f>'Sources &amp; Uses'!$E$25</f>
        <v/>
      </c>
      <c r="P12" s="47">
        <f>N12-O12</f>
        <v/>
      </c>
    </row>
    <row r="13">
      <c r="A13" s="9" t="inlineStr">
        <is>
          <t>Sculptural sound system</t>
        </is>
      </c>
      <c r="B13" s="24" t="inlineStr">
        <is>
          <t>Phase 1</t>
        </is>
      </c>
      <c r="C13" s="24" t="inlineStr">
        <is>
          <t>Opening -1, 0</t>
        </is>
      </c>
      <c r="D13" s="21">
        <f>'Sources &amp; Uses'!$E$26*((D$5=Assumptions!$F$9-1)*Assumptions!$F$95+(D$5=Assumptions!$F$9)*Assumptions!$F$96)*(1+Assumptions!$F$189)^(D$5-2026)</f>
        <v/>
      </c>
      <c r="E13" s="21">
        <f>'Sources &amp; Uses'!$E$26*((E$5=Assumptions!$F$9-1)*Assumptions!$F$95+(E$5=Assumptions!$F$9)*Assumptions!$F$96)*(1+Assumptions!$F$189)^(E$5-2026)</f>
        <v/>
      </c>
      <c r="F13" s="21">
        <f>'Sources &amp; Uses'!$E$26*((F$5=Assumptions!$F$9-1)*Assumptions!$F$95+(F$5=Assumptions!$F$9)*Assumptions!$F$96)*(1+Assumptions!$F$189)^(F$5-2026)</f>
        <v/>
      </c>
      <c r="G13" s="21">
        <f>'Sources &amp; Uses'!$E$26*((G$5=Assumptions!$F$9-1)*Assumptions!$F$95+(G$5=Assumptions!$F$9)*Assumptions!$F$96)*(1+Assumptions!$F$189)^(G$5-2026)</f>
        <v/>
      </c>
      <c r="H13" s="21">
        <f>'Sources &amp; Uses'!$E$26*((H$5=Assumptions!$F$9-1)*Assumptions!$F$95+(H$5=Assumptions!$F$9)*Assumptions!$F$96)*(1+Assumptions!$F$189)^(H$5-2026)</f>
        <v/>
      </c>
      <c r="I13" s="21">
        <f>'Sources &amp; Uses'!$E$26*((I$5=Assumptions!$F$9-1)*Assumptions!$F$95+(I$5=Assumptions!$F$9)*Assumptions!$F$96)*(1+Assumptions!$F$189)^(I$5-2026)</f>
        <v/>
      </c>
      <c r="J13" s="21">
        <f>'Sources &amp; Uses'!$E$26*((J$5=Assumptions!$F$9-1)*Assumptions!$F$95+(J$5=Assumptions!$F$9)*Assumptions!$F$96)*(1+Assumptions!$F$189)^(J$5-2026)</f>
        <v/>
      </c>
      <c r="K13" s="21">
        <f>'Sources &amp; Uses'!$E$26*((K$5=Assumptions!$F$9-1)*Assumptions!$F$95+(K$5=Assumptions!$F$9)*Assumptions!$F$96)*(1+Assumptions!$F$189)^(K$5-2026)</f>
        <v/>
      </c>
      <c r="L13" s="21">
        <f>'Sources &amp; Uses'!$E$26*((L$5=Assumptions!$F$9-1)*Assumptions!$F$95+(L$5=Assumptions!$F$9)*Assumptions!$F$96)*(1+Assumptions!$F$189)^(L$5-2026)</f>
        <v/>
      </c>
      <c r="M13" s="21">
        <f>'Sources &amp; Uses'!$E$26*((M$5=Assumptions!$F$9-1)*Assumptions!$F$95+(M$5=Assumptions!$F$9)*Assumptions!$F$96)*(1+Assumptions!$F$189)^(M$5-2026)</f>
        <v/>
      </c>
      <c r="N13" s="47">
        <f>SUM(D13:M13)</f>
        <v/>
      </c>
      <c r="O13" s="47">
        <f>'Sources &amp; Uses'!$E$26</f>
        <v/>
      </c>
      <c r="P13" s="47">
        <f>N13-O13</f>
        <v/>
      </c>
    </row>
    <row r="14">
      <c r="A14" s="9" t="inlineStr">
        <is>
          <t>Arcana cabins, Phase 1 (all 12)</t>
        </is>
      </c>
      <c r="B14" s="24" t="inlineStr">
        <is>
          <t>Phase 1</t>
        </is>
      </c>
      <c r="C14" s="24" t="inlineStr">
        <is>
          <t>50% order, 50% delivery</t>
        </is>
      </c>
      <c r="D14" s="21">
        <f>'Sources &amp; Uses'!$E$27*((D$5=Assumptions!$F$9-1)*Assumptions!$F$93+(D$5=Assumptions!$F$9)*Assumptions!$F$94)*(1+Assumptions!$F$189)^(D$5-2026)</f>
        <v/>
      </c>
      <c r="E14" s="21">
        <f>'Sources &amp; Uses'!$E$27*((E$5=Assumptions!$F$9-1)*Assumptions!$F$93+(E$5=Assumptions!$F$9)*Assumptions!$F$94)*(1+Assumptions!$F$189)^(E$5-2026)</f>
        <v/>
      </c>
      <c r="F14" s="21">
        <f>'Sources &amp; Uses'!$E$27*((F$5=Assumptions!$F$9-1)*Assumptions!$F$93+(F$5=Assumptions!$F$9)*Assumptions!$F$94)*(1+Assumptions!$F$189)^(F$5-2026)</f>
        <v/>
      </c>
      <c r="G14" s="21">
        <f>'Sources &amp; Uses'!$E$27*((G$5=Assumptions!$F$9-1)*Assumptions!$F$93+(G$5=Assumptions!$F$9)*Assumptions!$F$94)*(1+Assumptions!$F$189)^(G$5-2026)</f>
        <v/>
      </c>
      <c r="H14" s="21">
        <f>'Sources &amp; Uses'!$E$27*((H$5=Assumptions!$F$9-1)*Assumptions!$F$93+(H$5=Assumptions!$F$9)*Assumptions!$F$94)*(1+Assumptions!$F$189)^(H$5-2026)</f>
        <v/>
      </c>
      <c r="I14" s="21">
        <f>'Sources &amp; Uses'!$E$27*((I$5=Assumptions!$F$9-1)*Assumptions!$F$93+(I$5=Assumptions!$F$9)*Assumptions!$F$94)*(1+Assumptions!$F$189)^(I$5-2026)</f>
        <v/>
      </c>
      <c r="J14" s="21">
        <f>'Sources &amp; Uses'!$E$27*((J$5=Assumptions!$F$9-1)*Assumptions!$F$93+(J$5=Assumptions!$F$9)*Assumptions!$F$94)*(1+Assumptions!$F$189)^(J$5-2026)</f>
        <v/>
      </c>
      <c r="K14" s="21">
        <f>'Sources &amp; Uses'!$E$27*((K$5=Assumptions!$F$9-1)*Assumptions!$F$93+(K$5=Assumptions!$F$9)*Assumptions!$F$94)*(1+Assumptions!$F$189)^(K$5-2026)</f>
        <v/>
      </c>
      <c r="L14" s="21">
        <f>'Sources &amp; Uses'!$E$27*((L$5=Assumptions!$F$9-1)*Assumptions!$F$93+(L$5=Assumptions!$F$9)*Assumptions!$F$94)*(1+Assumptions!$F$189)^(L$5-2026)</f>
        <v/>
      </c>
      <c r="M14" s="21">
        <f>'Sources &amp; Uses'!$E$27*((M$5=Assumptions!$F$9-1)*Assumptions!$F$93+(M$5=Assumptions!$F$9)*Assumptions!$F$94)*(1+Assumptions!$F$189)^(M$5-2026)</f>
        <v/>
      </c>
      <c r="N14" s="47">
        <f>SUM(D14:M14)</f>
        <v/>
      </c>
      <c r="O14" s="47">
        <f>'Sources &amp; Uses'!$E$27</f>
        <v/>
      </c>
      <c r="P14" s="47">
        <f>N14-O14</f>
        <v/>
      </c>
    </row>
    <row r="15">
      <c r="A15" s="9" t="inlineStr">
        <is>
          <t>Bathhouse: sauna, cold plunge and hot tub, shared</t>
        </is>
      </c>
      <c r="B15" s="24" t="inlineStr">
        <is>
          <t>Phase 1</t>
        </is>
      </c>
      <c r="C15" s="24" t="inlineStr">
        <is>
          <t>Opening -1, 0</t>
        </is>
      </c>
      <c r="D15" s="21">
        <f>'Sources &amp; Uses'!$E$28*((D$5=Assumptions!$F$9-2)*Assumptions!$F$87+(D$5=Assumptions!$F$9-1)*Assumptions!$F$88+(D$5=Assumptions!$F$9)*Assumptions!$F$89)*(1+Assumptions!$F$189)^(D$5-2026)</f>
        <v/>
      </c>
      <c r="E15" s="21">
        <f>'Sources &amp; Uses'!$E$28*((E$5=Assumptions!$F$9-2)*Assumptions!$F$87+(E$5=Assumptions!$F$9-1)*Assumptions!$F$88+(E$5=Assumptions!$F$9)*Assumptions!$F$89)*(1+Assumptions!$F$189)^(E$5-2026)</f>
        <v/>
      </c>
      <c r="F15" s="21">
        <f>'Sources &amp; Uses'!$E$28*((F$5=Assumptions!$F$9-2)*Assumptions!$F$87+(F$5=Assumptions!$F$9-1)*Assumptions!$F$88+(F$5=Assumptions!$F$9)*Assumptions!$F$89)*(1+Assumptions!$F$189)^(F$5-2026)</f>
        <v/>
      </c>
      <c r="G15" s="21">
        <f>'Sources &amp; Uses'!$E$28*((G$5=Assumptions!$F$9-2)*Assumptions!$F$87+(G$5=Assumptions!$F$9-1)*Assumptions!$F$88+(G$5=Assumptions!$F$9)*Assumptions!$F$89)*(1+Assumptions!$F$189)^(G$5-2026)</f>
        <v/>
      </c>
      <c r="H15" s="21">
        <f>'Sources &amp; Uses'!$E$28*((H$5=Assumptions!$F$9-2)*Assumptions!$F$87+(H$5=Assumptions!$F$9-1)*Assumptions!$F$88+(H$5=Assumptions!$F$9)*Assumptions!$F$89)*(1+Assumptions!$F$189)^(H$5-2026)</f>
        <v/>
      </c>
      <c r="I15" s="21">
        <f>'Sources &amp; Uses'!$E$28*((I$5=Assumptions!$F$9-2)*Assumptions!$F$87+(I$5=Assumptions!$F$9-1)*Assumptions!$F$88+(I$5=Assumptions!$F$9)*Assumptions!$F$89)*(1+Assumptions!$F$189)^(I$5-2026)</f>
        <v/>
      </c>
      <c r="J15" s="21">
        <f>'Sources &amp; Uses'!$E$28*((J$5=Assumptions!$F$9-2)*Assumptions!$F$87+(J$5=Assumptions!$F$9-1)*Assumptions!$F$88+(J$5=Assumptions!$F$9)*Assumptions!$F$89)*(1+Assumptions!$F$189)^(J$5-2026)</f>
        <v/>
      </c>
      <c r="K15" s="21">
        <f>'Sources &amp; Uses'!$E$28*((K$5=Assumptions!$F$9-2)*Assumptions!$F$87+(K$5=Assumptions!$F$9-1)*Assumptions!$F$88+(K$5=Assumptions!$F$9)*Assumptions!$F$89)*(1+Assumptions!$F$189)^(K$5-2026)</f>
        <v/>
      </c>
      <c r="L15" s="21">
        <f>'Sources &amp; Uses'!$E$28*((L$5=Assumptions!$F$9-2)*Assumptions!$F$87+(L$5=Assumptions!$F$9-1)*Assumptions!$F$88+(L$5=Assumptions!$F$9)*Assumptions!$F$89)*(1+Assumptions!$F$189)^(L$5-2026)</f>
        <v/>
      </c>
      <c r="M15" s="21">
        <f>'Sources &amp; Uses'!$E$28*((M$5=Assumptions!$F$9-2)*Assumptions!$F$87+(M$5=Assumptions!$F$9-1)*Assumptions!$F$88+(M$5=Assumptions!$F$9)*Assumptions!$F$89)*(1+Assumptions!$F$189)^(M$5-2026)</f>
        <v/>
      </c>
      <c r="N15" s="47">
        <f>SUM(D15:M15)</f>
        <v/>
      </c>
      <c r="O15" s="47">
        <f>'Sources &amp; Uses'!$E$28</f>
        <v/>
      </c>
      <c r="P15" s="47">
        <f>N15-O15</f>
        <v/>
      </c>
    </row>
    <row r="16">
      <c r="A16" s="9" t="inlineStr">
        <is>
          <t>Temporary kitchen (none: caterers until the gallery kitchen opens)</t>
        </is>
      </c>
      <c r="B16" s="24" t="inlineStr">
        <is>
          <t>Phase 1</t>
        </is>
      </c>
      <c r="C16" s="24" t="inlineStr">
        <is>
          <t>Opening year</t>
        </is>
      </c>
      <c r="D16" s="21">
        <f>'Sources &amp; Uses'!$E$29*(D$5=Assumptions!$F$9)*(1+Assumptions!$F$189)^(D$5-2026)</f>
        <v/>
      </c>
      <c r="E16" s="21">
        <f>'Sources &amp; Uses'!$E$29*(E$5=Assumptions!$F$9)*(1+Assumptions!$F$189)^(E$5-2026)</f>
        <v/>
      </c>
      <c r="F16" s="21">
        <f>'Sources &amp; Uses'!$E$29*(F$5=Assumptions!$F$9)*(1+Assumptions!$F$189)^(F$5-2026)</f>
        <v/>
      </c>
      <c r="G16" s="21">
        <f>'Sources &amp; Uses'!$E$29*(G$5=Assumptions!$F$9)*(1+Assumptions!$F$189)^(G$5-2026)</f>
        <v/>
      </c>
      <c r="H16" s="21">
        <f>'Sources &amp; Uses'!$E$29*(H$5=Assumptions!$F$9)*(1+Assumptions!$F$189)^(H$5-2026)</f>
        <v/>
      </c>
      <c r="I16" s="21">
        <f>'Sources &amp; Uses'!$E$29*(I$5=Assumptions!$F$9)*(1+Assumptions!$F$189)^(I$5-2026)</f>
        <v/>
      </c>
      <c r="J16" s="21">
        <f>'Sources &amp; Uses'!$E$29*(J$5=Assumptions!$F$9)*(1+Assumptions!$F$189)^(J$5-2026)</f>
        <v/>
      </c>
      <c r="K16" s="21">
        <f>'Sources &amp; Uses'!$E$29*(K$5=Assumptions!$F$9)*(1+Assumptions!$F$189)^(K$5-2026)</f>
        <v/>
      </c>
      <c r="L16" s="21">
        <f>'Sources &amp; Uses'!$E$29*(L$5=Assumptions!$F$9)*(1+Assumptions!$F$189)^(L$5-2026)</f>
        <v/>
      </c>
      <c r="M16" s="21">
        <f>'Sources &amp; Uses'!$E$29*(M$5=Assumptions!$F$9)*(1+Assumptions!$F$189)^(M$5-2026)</f>
        <v/>
      </c>
      <c r="N16" s="47">
        <f>SUM(D16:M16)</f>
        <v/>
      </c>
      <c r="O16" s="47">
        <f>'Sources &amp; Uses'!$E$29</f>
        <v/>
      </c>
      <c r="P16" s="47">
        <f>N16-O16</f>
        <v/>
      </c>
    </row>
    <row r="17">
      <c r="A17" s="9" t="inlineStr">
        <is>
          <t>School fees, Casitas water capital charge, HCD factory-built approval (one-time)</t>
        </is>
      </c>
      <c r="B17" s="24" t="inlineStr">
        <is>
          <t>Phase 1</t>
        </is>
      </c>
      <c r="C17" s="24" t="inlineStr">
        <is>
          <t>Opening -1, 0</t>
        </is>
      </c>
      <c r="D17" s="21">
        <f>'Sources &amp; Uses'!$E$30*((D$5=Assumptions!$F$9-2)*Assumptions!$F$87+(D$5=Assumptions!$F$9-1)*Assumptions!$F$88+(D$5=Assumptions!$F$9)*Assumptions!$F$89)*(1+Assumptions!$F$189)^(D$5-2026)</f>
        <v/>
      </c>
      <c r="E17" s="21">
        <f>'Sources &amp; Uses'!$E$30*((E$5=Assumptions!$F$9-2)*Assumptions!$F$87+(E$5=Assumptions!$F$9-1)*Assumptions!$F$88+(E$5=Assumptions!$F$9)*Assumptions!$F$89)*(1+Assumptions!$F$189)^(E$5-2026)</f>
        <v/>
      </c>
      <c r="F17" s="21">
        <f>'Sources &amp; Uses'!$E$30*((F$5=Assumptions!$F$9-2)*Assumptions!$F$87+(F$5=Assumptions!$F$9-1)*Assumptions!$F$88+(F$5=Assumptions!$F$9)*Assumptions!$F$89)*(1+Assumptions!$F$189)^(F$5-2026)</f>
        <v/>
      </c>
      <c r="G17" s="21">
        <f>'Sources &amp; Uses'!$E$30*((G$5=Assumptions!$F$9-2)*Assumptions!$F$87+(G$5=Assumptions!$F$9-1)*Assumptions!$F$88+(G$5=Assumptions!$F$9)*Assumptions!$F$89)*(1+Assumptions!$F$189)^(G$5-2026)</f>
        <v/>
      </c>
      <c r="H17" s="21">
        <f>'Sources &amp; Uses'!$E$30*((H$5=Assumptions!$F$9-2)*Assumptions!$F$87+(H$5=Assumptions!$F$9-1)*Assumptions!$F$88+(H$5=Assumptions!$F$9)*Assumptions!$F$89)*(1+Assumptions!$F$189)^(H$5-2026)</f>
        <v/>
      </c>
      <c r="I17" s="21">
        <f>'Sources &amp; Uses'!$E$30*((I$5=Assumptions!$F$9-2)*Assumptions!$F$87+(I$5=Assumptions!$F$9-1)*Assumptions!$F$88+(I$5=Assumptions!$F$9)*Assumptions!$F$89)*(1+Assumptions!$F$189)^(I$5-2026)</f>
        <v/>
      </c>
      <c r="J17" s="21">
        <f>'Sources &amp; Uses'!$E$30*((J$5=Assumptions!$F$9-2)*Assumptions!$F$87+(J$5=Assumptions!$F$9-1)*Assumptions!$F$88+(J$5=Assumptions!$F$9)*Assumptions!$F$89)*(1+Assumptions!$F$189)^(J$5-2026)</f>
        <v/>
      </c>
      <c r="K17" s="21">
        <f>'Sources &amp; Uses'!$E$30*((K$5=Assumptions!$F$9-2)*Assumptions!$F$87+(K$5=Assumptions!$F$9-1)*Assumptions!$F$88+(K$5=Assumptions!$F$9)*Assumptions!$F$89)*(1+Assumptions!$F$189)^(K$5-2026)</f>
        <v/>
      </c>
      <c r="L17" s="21">
        <f>'Sources &amp; Uses'!$E$30*((L$5=Assumptions!$F$9-2)*Assumptions!$F$87+(L$5=Assumptions!$F$9-1)*Assumptions!$F$88+(L$5=Assumptions!$F$9)*Assumptions!$F$89)*(1+Assumptions!$F$189)^(L$5-2026)</f>
        <v/>
      </c>
      <c r="M17" s="21">
        <f>'Sources &amp; Uses'!$E$30*((M$5=Assumptions!$F$9-2)*Assumptions!$F$87+(M$5=Assumptions!$F$9-1)*Assumptions!$F$88+(M$5=Assumptions!$F$9)*Assumptions!$F$89)*(1+Assumptions!$F$189)^(M$5-2026)</f>
        <v/>
      </c>
      <c r="N17" s="47">
        <f>SUM(D17:M17)</f>
        <v/>
      </c>
      <c r="O17" s="47">
        <f>'Sources &amp; Uses'!$E$30</f>
        <v/>
      </c>
      <c r="P17" s="47">
        <f>N17-O17</f>
        <v/>
      </c>
    </row>
    <row r="18">
      <c r="A18" s="9" t="inlineStr">
        <is>
          <t>Maintenance building and one staff unit</t>
        </is>
      </c>
      <c r="B18" s="24" t="inlineStr">
        <is>
          <t>Phase 1</t>
        </is>
      </c>
      <c r="C18" s="24" t="inlineStr">
        <is>
          <t>Opening -1, 0</t>
        </is>
      </c>
      <c r="D18" s="21">
        <f>'Sources &amp; Uses'!$E$31*((D$5=Assumptions!$F$9-2)*Assumptions!$F$87+(D$5=Assumptions!$F$9-1)*Assumptions!$F$88+(D$5=Assumptions!$F$9)*Assumptions!$F$89)*(1+Assumptions!$F$189)^(D$5-2026)</f>
        <v/>
      </c>
      <c r="E18" s="21">
        <f>'Sources &amp; Uses'!$E$31*((E$5=Assumptions!$F$9-2)*Assumptions!$F$87+(E$5=Assumptions!$F$9-1)*Assumptions!$F$88+(E$5=Assumptions!$F$9)*Assumptions!$F$89)*(1+Assumptions!$F$189)^(E$5-2026)</f>
        <v/>
      </c>
      <c r="F18" s="21">
        <f>'Sources &amp; Uses'!$E$31*((F$5=Assumptions!$F$9-2)*Assumptions!$F$87+(F$5=Assumptions!$F$9-1)*Assumptions!$F$88+(F$5=Assumptions!$F$9)*Assumptions!$F$89)*(1+Assumptions!$F$189)^(F$5-2026)</f>
        <v/>
      </c>
      <c r="G18" s="21">
        <f>'Sources &amp; Uses'!$E$31*((G$5=Assumptions!$F$9-2)*Assumptions!$F$87+(G$5=Assumptions!$F$9-1)*Assumptions!$F$88+(G$5=Assumptions!$F$9)*Assumptions!$F$89)*(1+Assumptions!$F$189)^(G$5-2026)</f>
        <v/>
      </c>
      <c r="H18" s="21">
        <f>'Sources &amp; Uses'!$E$31*((H$5=Assumptions!$F$9-2)*Assumptions!$F$87+(H$5=Assumptions!$F$9-1)*Assumptions!$F$88+(H$5=Assumptions!$F$9)*Assumptions!$F$89)*(1+Assumptions!$F$189)^(H$5-2026)</f>
        <v/>
      </c>
      <c r="I18" s="21">
        <f>'Sources &amp; Uses'!$E$31*((I$5=Assumptions!$F$9-2)*Assumptions!$F$87+(I$5=Assumptions!$F$9-1)*Assumptions!$F$88+(I$5=Assumptions!$F$9)*Assumptions!$F$89)*(1+Assumptions!$F$189)^(I$5-2026)</f>
        <v/>
      </c>
      <c r="J18" s="21">
        <f>'Sources &amp; Uses'!$E$31*((J$5=Assumptions!$F$9-2)*Assumptions!$F$87+(J$5=Assumptions!$F$9-1)*Assumptions!$F$88+(J$5=Assumptions!$F$9)*Assumptions!$F$89)*(1+Assumptions!$F$189)^(J$5-2026)</f>
        <v/>
      </c>
      <c r="K18" s="21">
        <f>'Sources &amp; Uses'!$E$31*((K$5=Assumptions!$F$9-2)*Assumptions!$F$87+(K$5=Assumptions!$F$9-1)*Assumptions!$F$88+(K$5=Assumptions!$F$9)*Assumptions!$F$89)*(1+Assumptions!$F$189)^(K$5-2026)</f>
        <v/>
      </c>
      <c r="L18" s="21">
        <f>'Sources &amp; Uses'!$E$31*((L$5=Assumptions!$F$9-2)*Assumptions!$F$87+(L$5=Assumptions!$F$9-1)*Assumptions!$F$88+(L$5=Assumptions!$F$9)*Assumptions!$F$89)*(1+Assumptions!$F$189)^(L$5-2026)</f>
        <v/>
      </c>
      <c r="M18" s="21">
        <f>'Sources &amp; Uses'!$E$31*((M$5=Assumptions!$F$9-2)*Assumptions!$F$87+(M$5=Assumptions!$F$9-1)*Assumptions!$F$88+(M$5=Assumptions!$F$9)*Assumptions!$F$89)*(1+Assumptions!$F$189)^(M$5-2026)</f>
        <v/>
      </c>
      <c r="N18" s="47">
        <f>SUM(D18:M18)</f>
        <v/>
      </c>
      <c r="O18" s="47">
        <f>'Sources &amp; Uses'!$E$31</f>
        <v/>
      </c>
      <c r="P18" s="47">
        <f>N18-O18</f>
        <v/>
      </c>
    </row>
    <row r="19">
      <c r="A19" s="9" t="inlineStr">
        <is>
          <t>Landscaping and artwork, Phase 1 share</t>
        </is>
      </c>
      <c r="B19" s="24" t="inlineStr">
        <is>
          <t>Phase 1</t>
        </is>
      </c>
      <c r="C19" s="24" t="inlineStr">
        <is>
          <t>Opening -1, 0</t>
        </is>
      </c>
      <c r="D19" s="21">
        <f>'Sources &amp; Uses'!$E$32*((D$5=Assumptions!$F$9-2)*Assumptions!$F$87+(D$5=Assumptions!$F$9-1)*Assumptions!$F$88+(D$5=Assumptions!$F$9)*Assumptions!$F$89)*(1+Assumptions!$F$189)^(D$5-2026)</f>
        <v/>
      </c>
      <c r="E19" s="21">
        <f>'Sources &amp; Uses'!$E$32*((E$5=Assumptions!$F$9-2)*Assumptions!$F$87+(E$5=Assumptions!$F$9-1)*Assumptions!$F$88+(E$5=Assumptions!$F$9)*Assumptions!$F$89)*(1+Assumptions!$F$189)^(E$5-2026)</f>
        <v/>
      </c>
      <c r="F19" s="21">
        <f>'Sources &amp; Uses'!$E$32*((F$5=Assumptions!$F$9-2)*Assumptions!$F$87+(F$5=Assumptions!$F$9-1)*Assumptions!$F$88+(F$5=Assumptions!$F$9)*Assumptions!$F$89)*(1+Assumptions!$F$189)^(F$5-2026)</f>
        <v/>
      </c>
      <c r="G19" s="21">
        <f>'Sources &amp; Uses'!$E$32*((G$5=Assumptions!$F$9-2)*Assumptions!$F$87+(G$5=Assumptions!$F$9-1)*Assumptions!$F$88+(G$5=Assumptions!$F$9)*Assumptions!$F$89)*(1+Assumptions!$F$189)^(G$5-2026)</f>
        <v/>
      </c>
      <c r="H19" s="21">
        <f>'Sources &amp; Uses'!$E$32*((H$5=Assumptions!$F$9-2)*Assumptions!$F$87+(H$5=Assumptions!$F$9-1)*Assumptions!$F$88+(H$5=Assumptions!$F$9)*Assumptions!$F$89)*(1+Assumptions!$F$189)^(H$5-2026)</f>
        <v/>
      </c>
      <c r="I19" s="21">
        <f>'Sources &amp; Uses'!$E$32*((I$5=Assumptions!$F$9-2)*Assumptions!$F$87+(I$5=Assumptions!$F$9-1)*Assumptions!$F$88+(I$5=Assumptions!$F$9)*Assumptions!$F$89)*(1+Assumptions!$F$189)^(I$5-2026)</f>
        <v/>
      </c>
      <c r="J19" s="21">
        <f>'Sources &amp; Uses'!$E$32*((J$5=Assumptions!$F$9-2)*Assumptions!$F$87+(J$5=Assumptions!$F$9-1)*Assumptions!$F$88+(J$5=Assumptions!$F$9)*Assumptions!$F$89)*(1+Assumptions!$F$189)^(J$5-2026)</f>
        <v/>
      </c>
      <c r="K19" s="21">
        <f>'Sources &amp; Uses'!$E$32*((K$5=Assumptions!$F$9-2)*Assumptions!$F$87+(K$5=Assumptions!$F$9-1)*Assumptions!$F$88+(K$5=Assumptions!$F$9)*Assumptions!$F$89)*(1+Assumptions!$F$189)^(K$5-2026)</f>
        <v/>
      </c>
      <c r="L19" s="21">
        <f>'Sources &amp; Uses'!$E$32*((L$5=Assumptions!$F$9-2)*Assumptions!$F$87+(L$5=Assumptions!$F$9-1)*Assumptions!$F$88+(L$5=Assumptions!$F$9)*Assumptions!$F$89)*(1+Assumptions!$F$189)^(L$5-2026)</f>
        <v/>
      </c>
      <c r="M19" s="21">
        <f>'Sources &amp; Uses'!$E$32*((M$5=Assumptions!$F$9-2)*Assumptions!$F$87+(M$5=Assumptions!$F$9-1)*Assumptions!$F$88+(M$5=Assumptions!$F$9)*Assumptions!$F$89)*(1+Assumptions!$F$189)^(M$5-2026)</f>
        <v/>
      </c>
      <c r="N19" s="47">
        <f>SUM(D19:M19)</f>
        <v/>
      </c>
      <c r="O19" s="47">
        <f>'Sources &amp; Uses'!$E$32</f>
        <v/>
      </c>
      <c r="P19" s="47">
        <f>N19-O19</f>
        <v/>
      </c>
    </row>
    <row r="20">
      <c r="A20" s="9" t="inlineStr">
        <is>
          <t>FF&amp;E, vehicles and operating equipment, Phase 1 share</t>
        </is>
      </c>
      <c r="B20" s="24" t="inlineStr">
        <is>
          <t>Phase 1</t>
        </is>
      </c>
      <c r="C20" s="24" t="inlineStr">
        <is>
          <t>Opening year</t>
        </is>
      </c>
      <c r="D20" s="21">
        <f>'Sources &amp; Uses'!$E$33*(D$5=Assumptions!$F$9)*(1+Assumptions!$F$189)^(D$5-2026)</f>
        <v/>
      </c>
      <c r="E20" s="21">
        <f>'Sources &amp; Uses'!$E$33*(E$5=Assumptions!$F$9)*(1+Assumptions!$F$189)^(E$5-2026)</f>
        <v/>
      </c>
      <c r="F20" s="21">
        <f>'Sources &amp; Uses'!$E$33*(F$5=Assumptions!$F$9)*(1+Assumptions!$F$189)^(F$5-2026)</f>
        <v/>
      </c>
      <c r="G20" s="21">
        <f>'Sources &amp; Uses'!$E$33*(G$5=Assumptions!$F$9)*(1+Assumptions!$F$189)^(G$5-2026)</f>
        <v/>
      </c>
      <c r="H20" s="21">
        <f>'Sources &amp; Uses'!$E$33*(H$5=Assumptions!$F$9)*(1+Assumptions!$F$189)^(H$5-2026)</f>
        <v/>
      </c>
      <c r="I20" s="21">
        <f>'Sources &amp; Uses'!$E$33*(I$5=Assumptions!$F$9)*(1+Assumptions!$F$189)^(I$5-2026)</f>
        <v/>
      </c>
      <c r="J20" s="21">
        <f>'Sources &amp; Uses'!$E$33*(J$5=Assumptions!$F$9)*(1+Assumptions!$F$189)^(J$5-2026)</f>
        <v/>
      </c>
      <c r="K20" s="21">
        <f>'Sources &amp; Uses'!$E$33*(K$5=Assumptions!$F$9)*(1+Assumptions!$F$189)^(K$5-2026)</f>
        <v/>
      </c>
      <c r="L20" s="21">
        <f>'Sources &amp; Uses'!$E$33*(L$5=Assumptions!$F$9)*(1+Assumptions!$F$189)^(L$5-2026)</f>
        <v/>
      </c>
      <c r="M20" s="21">
        <f>'Sources &amp; Uses'!$E$33*(M$5=Assumptions!$F$9)*(1+Assumptions!$F$189)^(M$5-2026)</f>
        <v/>
      </c>
      <c r="N20" s="47">
        <f>SUM(D20:M20)</f>
        <v/>
      </c>
      <c r="O20" s="47">
        <f>'Sources &amp; Uses'!$E$33</f>
        <v/>
      </c>
      <c r="P20" s="47">
        <f>N20-O20</f>
        <v/>
      </c>
    </row>
    <row r="21">
      <c r="A21" s="9" t="inlineStr">
        <is>
          <t>Soft costs, Phase 1 (design, engineering, acoustics, permits, fees, PM)</t>
        </is>
      </c>
      <c r="B21" s="24" t="inlineStr">
        <is>
          <t>Phase 1</t>
        </is>
      </c>
      <c r="C21" s="24" t="inlineStr">
        <is>
          <t>Opening -3 to 0</t>
        </is>
      </c>
      <c r="D21" s="21">
        <f>'Sources &amp; Uses'!$E$34*((D$5=Assumptions!$F$9-4)*Assumptions!$F$79+(D$5=Assumptions!$F$9-3)*Assumptions!$F$80+(D$5=Assumptions!$F$9-2)*Assumptions!$F$81+(D$5=Assumptions!$F$9-1)*Assumptions!$F$82+(D$5=Assumptions!$F$9)*Assumptions!$F$83)*(1+Assumptions!$F$189)^(D$5-2026)</f>
        <v/>
      </c>
      <c r="E21" s="21">
        <f>'Sources &amp; Uses'!$E$34*((E$5=Assumptions!$F$9-4)*Assumptions!$F$79+(E$5=Assumptions!$F$9-3)*Assumptions!$F$80+(E$5=Assumptions!$F$9-2)*Assumptions!$F$81+(E$5=Assumptions!$F$9-1)*Assumptions!$F$82+(E$5=Assumptions!$F$9)*Assumptions!$F$83)*(1+Assumptions!$F$189)^(E$5-2026)</f>
        <v/>
      </c>
      <c r="F21" s="21">
        <f>'Sources &amp; Uses'!$E$34*((F$5=Assumptions!$F$9-4)*Assumptions!$F$79+(F$5=Assumptions!$F$9-3)*Assumptions!$F$80+(F$5=Assumptions!$F$9-2)*Assumptions!$F$81+(F$5=Assumptions!$F$9-1)*Assumptions!$F$82+(F$5=Assumptions!$F$9)*Assumptions!$F$83)*(1+Assumptions!$F$189)^(F$5-2026)</f>
        <v/>
      </c>
      <c r="G21" s="21">
        <f>'Sources &amp; Uses'!$E$34*((G$5=Assumptions!$F$9-4)*Assumptions!$F$79+(G$5=Assumptions!$F$9-3)*Assumptions!$F$80+(G$5=Assumptions!$F$9-2)*Assumptions!$F$81+(G$5=Assumptions!$F$9-1)*Assumptions!$F$82+(G$5=Assumptions!$F$9)*Assumptions!$F$83)*(1+Assumptions!$F$189)^(G$5-2026)</f>
        <v/>
      </c>
      <c r="H21" s="21">
        <f>'Sources &amp; Uses'!$E$34*((H$5=Assumptions!$F$9-4)*Assumptions!$F$79+(H$5=Assumptions!$F$9-3)*Assumptions!$F$80+(H$5=Assumptions!$F$9-2)*Assumptions!$F$81+(H$5=Assumptions!$F$9-1)*Assumptions!$F$82+(H$5=Assumptions!$F$9)*Assumptions!$F$83)*(1+Assumptions!$F$189)^(H$5-2026)</f>
        <v/>
      </c>
      <c r="I21" s="21">
        <f>'Sources &amp; Uses'!$E$34*((I$5=Assumptions!$F$9-4)*Assumptions!$F$79+(I$5=Assumptions!$F$9-3)*Assumptions!$F$80+(I$5=Assumptions!$F$9-2)*Assumptions!$F$81+(I$5=Assumptions!$F$9-1)*Assumptions!$F$82+(I$5=Assumptions!$F$9)*Assumptions!$F$83)*(1+Assumptions!$F$189)^(I$5-2026)</f>
        <v/>
      </c>
      <c r="J21" s="21">
        <f>'Sources &amp; Uses'!$E$34*((J$5=Assumptions!$F$9-4)*Assumptions!$F$79+(J$5=Assumptions!$F$9-3)*Assumptions!$F$80+(J$5=Assumptions!$F$9-2)*Assumptions!$F$81+(J$5=Assumptions!$F$9-1)*Assumptions!$F$82+(J$5=Assumptions!$F$9)*Assumptions!$F$83)*(1+Assumptions!$F$189)^(J$5-2026)</f>
        <v/>
      </c>
      <c r="K21" s="21">
        <f>'Sources &amp; Uses'!$E$34*((K$5=Assumptions!$F$9-4)*Assumptions!$F$79+(K$5=Assumptions!$F$9-3)*Assumptions!$F$80+(K$5=Assumptions!$F$9-2)*Assumptions!$F$81+(K$5=Assumptions!$F$9-1)*Assumptions!$F$82+(K$5=Assumptions!$F$9)*Assumptions!$F$83)*(1+Assumptions!$F$189)^(K$5-2026)</f>
        <v/>
      </c>
      <c r="L21" s="21">
        <f>'Sources &amp; Uses'!$E$34*((L$5=Assumptions!$F$9-4)*Assumptions!$F$79+(L$5=Assumptions!$F$9-3)*Assumptions!$F$80+(L$5=Assumptions!$F$9-2)*Assumptions!$F$81+(L$5=Assumptions!$F$9-1)*Assumptions!$F$82+(L$5=Assumptions!$F$9)*Assumptions!$F$83)*(1+Assumptions!$F$189)^(L$5-2026)</f>
        <v/>
      </c>
      <c r="M21" s="21">
        <f>'Sources &amp; Uses'!$E$34*((M$5=Assumptions!$F$9-4)*Assumptions!$F$79+(M$5=Assumptions!$F$9-3)*Assumptions!$F$80+(M$5=Assumptions!$F$9-2)*Assumptions!$F$81+(M$5=Assumptions!$F$9-1)*Assumptions!$F$82+(M$5=Assumptions!$F$9)*Assumptions!$F$83)*(1+Assumptions!$F$189)^(M$5-2026)</f>
        <v/>
      </c>
      <c r="N21" s="47">
        <f>SUM(D21:M21)</f>
        <v/>
      </c>
      <c r="O21" s="47">
        <f>'Sources &amp; Uses'!$E$34</f>
        <v/>
      </c>
      <c r="P21" s="47">
        <f>N21-O21</f>
        <v/>
      </c>
    </row>
    <row r="22">
      <c r="A22" s="9" t="inlineStr">
        <is>
          <t>Contingency, Phase 1</t>
        </is>
      </c>
      <c r="B22" s="24" t="inlineStr">
        <is>
          <t>Phase 1</t>
        </is>
      </c>
      <c r="C22" s="24" t="inlineStr">
        <is>
          <t>Opening -1, 0</t>
        </is>
      </c>
      <c r="D22" s="21">
        <f>'Sources &amp; Uses'!$E$35*((D$5=Assumptions!$F$9-2)*Assumptions!$F$87+(D$5=Assumptions!$F$9-1)*Assumptions!$F$88+(D$5=Assumptions!$F$9)*Assumptions!$F$89)*(1+Assumptions!$F$189)^(D$5-2026)</f>
        <v/>
      </c>
      <c r="E22" s="21">
        <f>'Sources &amp; Uses'!$E$35*((E$5=Assumptions!$F$9-2)*Assumptions!$F$87+(E$5=Assumptions!$F$9-1)*Assumptions!$F$88+(E$5=Assumptions!$F$9)*Assumptions!$F$89)*(1+Assumptions!$F$189)^(E$5-2026)</f>
        <v/>
      </c>
      <c r="F22" s="21">
        <f>'Sources &amp; Uses'!$E$35*((F$5=Assumptions!$F$9-2)*Assumptions!$F$87+(F$5=Assumptions!$F$9-1)*Assumptions!$F$88+(F$5=Assumptions!$F$9)*Assumptions!$F$89)*(1+Assumptions!$F$189)^(F$5-2026)</f>
        <v/>
      </c>
      <c r="G22" s="21">
        <f>'Sources &amp; Uses'!$E$35*((G$5=Assumptions!$F$9-2)*Assumptions!$F$87+(G$5=Assumptions!$F$9-1)*Assumptions!$F$88+(G$5=Assumptions!$F$9)*Assumptions!$F$89)*(1+Assumptions!$F$189)^(G$5-2026)</f>
        <v/>
      </c>
      <c r="H22" s="21">
        <f>'Sources &amp; Uses'!$E$35*((H$5=Assumptions!$F$9-2)*Assumptions!$F$87+(H$5=Assumptions!$F$9-1)*Assumptions!$F$88+(H$5=Assumptions!$F$9)*Assumptions!$F$89)*(1+Assumptions!$F$189)^(H$5-2026)</f>
        <v/>
      </c>
      <c r="I22" s="21">
        <f>'Sources &amp; Uses'!$E$35*((I$5=Assumptions!$F$9-2)*Assumptions!$F$87+(I$5=Assumptions!$F$9-1)*Assumptions!$F$88+(I$5=Assumptions!$F$9)*Assumptions!$F$89)*(1+Assumptions!$F$189)^(I$5-2026)</f>
        <v/>
      </c>
      <c r="J22" s="21">
        <f>'Sources &amp; Uses'!$E$35*((J$5=Assumptions!$F$9-2)*Assumptions!$F$87+(J$5=Assumptions!$F$9-1)*Assumptions!$F$88+(J$5=Assumptions!$F$9)*Assumptions!$F$89)*(1+Assumptions!$F$189)^(J$5-2026)</f>
        <v/>
      </c>
      <c r="K22" s="21">
        <f>'Sources &amp; Uses'!$E$35*((K$5=Assumptions!$F$9-2)*Assumptions!$F$87+(K$5=Assumptions!$F$9-1)*Assumptions!$F$88+(K$5=Assumptions!$F$9)*Assumptions!$F$89)*(1+Assumptions!$F$189)^(K$5-2026)</f>
        <v/>
      </c>
      <c r="L22" s="21">
        <f>'Sources &amp; Uses'!$E$35*((L$5=Assumptions!$F$9-2)*Assumptions!$F$87+(L$5=Assumptions!$F$9-1)*Assumptions!$F$88+(L$5=Assumptions!$F$9)*Assumptions!$F$89)*(1+Assumptions!$F$189)^(L$5-2026)</f>
        <v/>
      </c>
      <c r="M22" s="21">
        <f>'Sources &amp; Uses'!$E$35*((M$5=Assumptions!$F$9-2)*Assumptions!$F$87+(M$5=Assumptions!$F$9-1)*Assumptions!$F$88+(M$5=Assumptions!$F$9)*Assumptions!$F$89)*(1+Assumptions!$F$189)^(M$5-2026)</f>
        <v/>
      </c>
      <c r="N22" s="47">
        <f>SUM(D22:M22)</f>
        <v/>
      </c>
      <c r="O22" s="47">
        <f>'Sources &amp; Uses'!$E$35</f>
        <v/>
      </c>
      <c r="P22" s="47">
        <f>N22-O22</f>
        <v/>
      </c>
    </row>
    <row r="23">
      <c r="A23" s="9" t="inlineStr">
        <is>
          <t>Site infrastructure, Phase 2 share</t>
        </is>
      </c>
      <c r="B23" s="24" t="inlineStr">
        <is>
          <t>Phase 2</t>
        </is>
      </c>
      <c r="C23" s="24" t="inlineStr">
        <is>
          <t>Opening -1, 0</t>
        </is>
      </c>
      <c r="D23" s="21">
        <f>'Sources &amp; Uses'!$E$38*((D$5=Assumptions!$F$10-2)*Assumptions!$F$87+(D$5=Assumptions!$F$10-1)*Assumptions!$F$88+(D$5=Assumptions!$F$10)*Assumptions!$F$89)*(1+Assumptions!$F$189)^(D$5-2026)</f>
        <v/>
      </c>
      <c r="E23" s="21">
        <f>'Sources &amp; Uses'!$E$38*((E$5=Assumptions!$F$10-2)*Assumptions!$F$87+(E$5=Assumptions!$F$10-1)*Assumptions!$F$88+(E$5=Assumptions!$F$10)*Assumptions!$F$89)*(1+Assumptions!$F$189)^(E$5-2026)</f>
        <v/>
      </c>
      <c r="F23" s="21">
        <f>'Sources &amp; Uses'!$E$38*((F$5=Assumptions!$F$10-2)*Assumptions!$F$87+(F$5=Assumptions!$F$10-1)*Assumptions!$F$88+(F$5=Assumptions!$F$10)*Assumptions!$F$89)*(1+Assumptions!$F$189)^(F$5-2026)</f>
        <v/>
      </c>
      <c r="G23" s="21">
        <f>'Sources &amp; Uses'!$E$38*((G$5=Assumptions!$F$10-2)*Assumptions!$F$87+(G$5=Assumptions!$F$10-1)*Assumptions!$F$88+(G$5=Assumptions!$F$10)*Assumptions!$F$89)*(1+Assumptions!$F$189)^(G$5-2026)</f>
        <v/>
      </c>
      <c r="H23" s="21">
        <f>'Sources &amp; Uses'!$E$38*((H$5=Assumptions!$F$10-2)*Assumptions!$F$87+(H$5=Assumptions!$F$10-1)*Assumptions!$F$88+(H$5=Assumptions!$F$10)*Assumptions!$F$89)*(1+Assumptions!$F$189)^(H$5-2026)</f>
        <v/>
      </c>
      <c r="I23" s="21">
        <f>'Sources &amp; Uses'!$E$38*((I$5=Assumptions!$F$10-2)*Assumptions!$F$87+(I$5=Assumptions!$F$10-1)*Assumptions!$F$88+(I$5=Assumptions!$F$10)*Assumptions!$F$89)*(1+Assumptions!$F$189)^(I$5-2026)</f>
        <v/>
      </c>
      <c r="J23" s="21">
        <f>'Sources &amp; Uses'!$E$38*((J$5=Assumptions!$F$10-2)*Assumptions!$F$87+(J$5=Assumptions!$F$10-1)*Assumptions!$F$88+(J$5=Assumptions!$F$10)*Assumptions!$F$89)*(1+Assumptions!$F$189)^(J$5-2026)</f>
        <v/>
      </c>
      <c r="K23" s="21">
        <f>'Sources &amp; Uses'!$E$38*((K$5=Assumptions!$F$10-2)*Assumptions!$F$87+(K$5=Assumptions!$F$10-1)*Assumptions!$F$88+(K$5=Assumptions!$F$10)*Assumptions!$F$89)*(1+Assumptions!$F$189)^(K$5-2026)</f>
        <v/>
      </c>
      <c r="L23" s="21">
        <f>'Sources &amp; Uses'!$E$38*((L$5=Assumptions!$F$10-2)*Assumptions!$F$87+(L$5=Assumptions!$F$10-1)*Assumptions!$F$88+(L$5=Assumptions!$F$10)*Assumptions!$F$89)*(1+Assumptions!$F$189)^(L$5-2026)</f>
        <v/>
      </c>
      <c r="M23" s="21">
        <f>'Sources &amp; Uses'!$E$38*((M$5=Assumptions!$F$10-2)*Assumptions!$F$87+(M$5=Assumptions!$F$10-1)*Assumptions!$F$88+(M$5=Assumptions!$F$10)*Assumptions!$F$89)*(1+Assumptions!$F$189)^(M$5-2026)</f>
        <v/>
      </c>
      <c r="N23" s="47">
        <f>SUM(D23:M23)</f>
        <v/>
      </c>
      <c r="O23" s="47">
        <f>'Sources &amp; Uses'!$E$38</f>
        <v/>
      </c>
      <c r="P23" s="47">
        <f>N23-O23</f>
        <v/>
      </c>
    </row>
    <row r="24">
      <c r="A24" s="9" t="inlineStr">
        <is>
          <t>Recording studio, 2,500 sf, building and acoustic fit-out</t>
        </is>
      </c>
      <c r="B24" s="24" t="inlineStr">
        <is>
          <t>Phase 2</t>
        </is>
      </c>
      <c r="C24" s="24" t="inlineStr">
        <is>
          <t>Opening -1, 0</t>
        </is>
      </c>
      <c r="D24" s="21">
        <f>'Sources &amp; Uses'!$E$39*((D$5=Assumptions!$F$10-2)*Assumptions!$F$87+(D$5=Assumptions!$F$10-1)*Assumptions!$F$88+(D$5=Assumptions!$F$10)*Assumptions!$F$89)*(1+Assumptions!$F$189)^(D$5-2026)</f>
        <v/>
      </c>
      <c r="E24" s="21">
        <f>'Sources &amp; Uses'!$E$39*((E$5=Assumptions!$F$10-2)*Assumptions!$F$87+(E$5=Assumptions!$F$10-1)*Assumptions!$F$88+(E$5=Assumptions!$F$10)*Assumptions!$F$89)*(1+Assumptions!$F$189)^(E$5-2026)</f>
        <v/>
      </c>
      <c r="F24" s="21">
        <f>'Sources &amp; Uses'!$E$39*((F$5=Assumptions!$F$10-2)*Assumptions!$F$87+(F$5=Assumptions!$F$10-1)*Assumptions!$F$88+(F$5=Assumptions!$F$10)*Assumptions!$F$89)*(1+Assumptions!$F$189)^(F$5-2026)</f>
        <v/>
      </c>
      <c r="G24" s="21">
        <f>'Sources &amp; Uses'!$E$39*((G$5=Assumptions!$F$10-2)*Assumptions!$F$87+(G$5=Assumptions!$F$10-1)*Assumptions!$F$88+(G$5=Assumptions!$F$10)*Assumptions!$F$89)*(1+Assumptions!$F$189)^(G$5-2026)</f>
        <v/>
      </c>
      <c r="H24" s="21">
        <f>'Sources &amp; Uses'!$E$39*((H$5=Assumptions!$F$10-2)*Assumptions!$F$87+(H$5=Assumptions!$F$10-1)*Assumptions!$F$88+(H$5=Assumptions!$F$10)*Assumptions!$F$89)*(1+Assumptions!$F$189)^(H$5-2026)</f>
        <v/>
      </c>
      <c r="I24" s="21">
        <f>'Sources &amp; Uses'!$E$39*((I$5=Assumptions!$F$10-2)*Assumptions!$F$87+(I$5=Assumptions!$F$10-1)*Assumptions!$F$88+(I$5=Assumptions!$F$10)*Assumptions!$F$89)*(1+Assumptions!$F$189)^(I$5-2026)</f>
        <v/>
      </c>
      <c r="J24" s="21">
        <f>'Sources &amp; Uses'!$E$39*((J$5=Assumptions!$F$10-2)*Assumptions!$F$87+(J$5=Assumptions!$F$10-1)*Assumptions!$F$88+(J$5=Assumptions!$F$10)*Assumptions!$F$89)*(1+Assumptions!$F$189)^(J$5-2026)</f>
        <v/>
      </c>
      <c r="K24" s="21">
        <f>'Sources &amp; Uses'!$E$39*((K$5=Assumptions!$F$10-2)*Assumptions!$F$87+(K$5=Assumptions!$F$10-1)*Assumptions!$F$88+(K$5=Assumptions!$F$10)*Assumptions!$F$89)*(1+Assumptions!$F$189)^(K$5-2026)</f>
        <v/>
      </c>
      <c r="L24" s="21">
        <f>'Sources &amp; Uses'!$E$39*((L$5=Assumptions!$F$10-2)*Assumptions!$F$87+(L$5=Assumptions!$F$10-1)*Assumptions!$F$88+(L$5=Assumptions!$F$10)*Assumptions!$F$89)*(1+Assumptions!$F$189)^(L$5-2026)</f>
        <v/>
      </c>
      <c r="M24" s="21">
        <f>'Sources &amp; Uses'!$E$39*((M$5=Assumptions!$F$10-2)*Assumptions!$F$87+(M$5=Assumptions!$F$10-1)*Assumptions!$F$88+(M$5=Assumptions!$F$10)*Assumptions!$F$89)*(1+Assumptions!$F$189)^(M$5-2026)</f>
        <v/>
      </c>
      <c r="N24" s="47">
        <f>SUM(D24:M24)</f>
        <v/>
      </c>
      <c r="O24" s="47">
        <f>'Sources &amp; Uses'!$E$39</f>
        <v/>
      </c>
      <c r="P24" s="47">
        <f>N24-O24</f>
        <v/>
      </c>
    </row>
    <row r="25">
      <c r="A25" s="9" t="inlineStr">
        <is>
          <t>Studio gear and instruments (console, monitoring, microphones, outboard, piano, backline)</t>
        </is>
      </c>
      <c r="B25" s="24" t="inlineStr">
        <is>
          <t>Phase 2</t>
        </is>
      </c>
      <c r="C25" s="24" t="inlineStr">
        <is>
          <t>Opening -1, 0</t>
        </is>
      </c>
      <c r="D25" s="21">
        <f>'Sources &amp; Uses'!$E$40*((D$5=Assumptions!$F$10-1)*Assumptions!$F$95+(D$5=Assumptions!$F$10)*Assumptions!$F$96)*(1+Assumptions!$F$189)^(D$5-2026)</f>
        <v/>
      </c>
      <c r="E25" s="21">
        <f>'Sources &amp; Uses'!$E$40*((E$5=Assumptions!$F$10-1)*Assumptions!$F$95+(E$5=Assumptions!$F$10)*Assumptions!$F$96)*(1+Assumptions!$F$189)^(E$5-2026)</f>
        <v/>
      </c>
      <c r="F25" s="21">
        <f>'Sources &amp; Uses'!$E$40*((F$5=Assumptions!$F$10-1)*Assumptions!$F$95+(F$5=Assumptions!$F$10)*Assumptions!$F$96)*(1+Assumptions!$F$189)^(F$5-2026)</f>
        <v/>
      </c>
      <c r="G25" s="21">
        <f>'Sources &amp; Uses'!$E$40*((G$5=Assumptions!$F$10-1)*Assumptions!$F$95+(G$5=Assumptions!$F$10)*Assumptions!$F$96)*(1+Assumptions!$F$189)^(G$5-2026)</f>
        <v/>
      </c>
      <c r="H25" s="21">
        <f>'Sources &amp; Uses'!$E$40*((H$5=Assumptions!$F$10-1)*Assumptions!$F$95+(H$5=Assumptions!$F$10)*Assumptions!$F$96)*(1+Assumptions!$F$189)^(H$5-2026)</f>
        <v/>
      </c>
      <c r="I25" s="21">
        <f>'Sources &amp; Uses'!$E$40*((I$5=Assumptions!$F$10-1)*Assumptions!$F$95+(I$5=Assumptions!$F$10)*Assumptions!$F$96)*(1+Assumptions!$F$189)^(I$5-2026)</f>
        <v/>
      </c>
      <c r="J25" s="21">
        <f>'Sources &amp; Uses'!$E$40*((J$5=Assumptions!$F$10-1)*Assumptions!$F$95+(J$5=Assumptions!$F$10)*Assumptions!$F$96)*(1+Assumptions!$F$189)^(J$5-2026)</f>
        <v/>
      </c>
      <c r="K25" s="21">
        <f>'Sources &amp; Uses'!$E$40*((K$5=Assumptions!$F$10-1)*Assumptions!$F$95+(K$5=Assumptions!$F$10)*Assumptions!$F$96)*(1+Assumptions!$F$189)^(K$5-2026)</f>
        <v/>
      </c>
      <c r="L25" s="21">
        <f>'Sources &amp; Uses'!$E$40*((L$5=Assumptions!$F$10-1)*Assumptions!$F$95+(L$5=Assumptions!$F$10)*Assumptions!$F$96)*(1+Assumptions!$F$189)^(L$5-2026)</f>
        <v/>
      </c>
      <c r="M25" s="21">
        <f>'Sources &amp; Uses'!$E$40*((M$5=Assumptions!$F$10-1)*Assumptions!$F$95+(M$5=Assumptions!$F$10)*Assumptions!$F$96)*(1+Assumptions!$F$189)^(M$5-2026)</f>
        <v/>
      </c>
      <c r="N25" s="47">
        <f>SUM(D25:M25)</f>
        <v/>
      </c>
      <c r="O25" s="47">
        <f>'Sources &amp; Uses'!$E$40</f>
        <v/>
      </c>
      <c r="P25" s="47">
        <f>N25-O25</f>
        <v/>
      </c>
    </row>
    <row r="26">
      <c r="A26" s="9" t="inlineStr">
        <is>
          <t>Instruments (included in studio gear and instruments)</t>
        </is>
      </c>
      <c r="B26" s="24" t="inlineStr">
        <is>
          <t>Phase 2</t>
        </is>
      </c>
      <c r="C26" s="24" t="inlineStr">
        <is>
          <t>Opening -1, 0</t>
        </is>
      </c>
      <c r="D26" s="21">
        <f>'Sources &amp; Uses'!$E$41*((D$5=Assumptions!$F$10-1)*Assumptions!$F$95+(D$5=Assumptions!$F$10)*Assumptions!$F$96)*(1+Assumptions!$F$189)^(D$5-2026)</f>
        <v/>
      </c>
      <c r="E26" s="21">
        <f>'Sources &amp; Uses'!$E$41*((E$5=Assumptions!$F$10-1)*Assumptions!$F$95+(E$5=Assumptions!$F$10)*Assumptions!$F$96)*(1+Assumptions!$F$189)^(E$5-2026)</f>
        <v/>
      </c>
      <c r="F26" s="21">
        <f>'Sources &amp; Uses'!$E$41*((F$5=Assumptions!$F$10-1)*Assumptions!$F$95+(F$5=Assumptions!$F$10)*Assumptions!$F$96)*(1+Assumptions!$F$189)^(F$5-2026)</f>
        <v/>
      </c>
      <c r="G26" s="21">
        <f>'Sources &amp; Uses'!$E$41*((G$5=Assumptions!$F$10-1)*Assumptions!$F$95+(G$5=Assumptions!$F$10)*Assumptions!$F$96)*(1+Assumptions!$F$189)^(G$5-2026)</f>
        <v/>
      </c>
      <c r="H26" s="21">
        <f>'Sources &amp; Uses'!$E$41*((H$5=Assumptions!$F$10-1)*Assumptions!$F$95+(H$5=Assumptions!$F$10)*Assumptions!$F$96)*(1+Assumptions!$F$189)^(H$5-2026)</f>
        <v/>
      </c>
      <c r="I26" s="21">
        <f>'Sources &amp; Uses'!$E$41*((I$5=Assumptions!$F$10-1)*Assumptions!$F$95+(I$5=Assumptions!$F$10)*Assumptions!$F$96)*(1+Assumptions!$F$189)^(I$5-2026)</f>
        <v/>
      </c>
      <c r="J26" s="21">
        <f>'Sources &amp; Uses'!$E$41*((J$5=Assumptions!$F$10-1)*Assumptions!$F$95+(J$5=Assumptions!$F$10)*Assumptions!$F$96)*(1+Assumptions!$F$189)^(J$5-2026)</f>
        <v/>
      </c>
      <c r="K26" s="21">
        <f>'Sources &amp; Uses'!$E$41*((K$5=Assumptions!$F$10-1)*Assumptions!$F$95+(K$5=Assumptions!$F$10)*Assumptions!$F$96)*(1+Assumptions!$F$189)^(K$5-2026)</f>
        <v/>
      </c>
      <c r="L26" s="21">
        <f>'Sources &amp; Uses'!$E$41*((L$5=Assumptions!$F$10-1)*Assumptions!$F$95+(L$5=Assumptions!$F$10)*Assumptions!$F$96)*(1+Assumptions!$F$189)^(L$5-2026)</f>
        <v/>
      </c>
      <c r="M26" s="21">
        <f>'Sources &amp; Uses'!$E$41*((M$5=Assumptions!$F$10-1)*Assumptions!$F$95+(M$5=Assumptions!$F$10)*Assumptions!$F$96)*(1+Assumptions!$F$189)^(M$5-2026)</f>
        <v/>
      </c>
      <c r="N26" s="47">
        <f>SUM(D26:M26)</f>
        <v/>
      </c>
      <c r="O26" s="47">
        <f>'Sources &amp; Uses'!$E$41</f>
        <v/>
      </c>
      <c r="P26" s="47">
        <f>N26-O26</f>
        <v/>
      </c>
    </row>
    <row r="27">
      <c r="A27" s="9" t="inlineStr">
        <is>
          <t>Arcana cabins, Phase 2 (none: all 12 are in Phase 1)</t>
        </is>
      </c>
      <c r="B27" s="24" t="inlineStr">
        <is>
          <t>Phase 2</t>
        </is>
      </c>
      <c r="C27" s="24" t="inlineStr">
        <is>
          <t>50% order, 50% delivery</t>
        </is>
      </c>
      <c r="D27" s="21">
        <f>'Sources &amp; Uses'!$E$42*((D$5=Assumptions!$F$10-1)*Assumptions!$F$93+(D$5=Assumptions!$F$10)*Assumptions!$F$94)*(1+Assumptions!$F$189)^(D$5-2026)</f>
        <v/>
      </c>
      <c r="E27" s="21">
        <f>'Sources &amp; Uses'!$E$42*((E$5=Assumptions!$F$10-1)*Assumptions!$F$93+(E$5=Assumptions!$F$10)*Assumptions!$F$94)*(1+Assumptions!$F$189)^(E$5-2026)</f>
        <v/>
      </c>
      <c r="F27" s="21">
        <f>'Sources &amp; Uses'!$E$42*((F$5=Assumptions!$F$10-1)*Assumptions!$F$93+(F$5=Assumptions!$F$10)*Assumptions!$F$94)*(1+Assumptions!$F$189)^(F$5-2026)</f>
        <v/>
      </c>
      <c r="G27" s="21">
        <f>'Sources &amp; Uses'!$E$42*((G$5=Assumptions!$F$10-1)*Assumptions!$F$93+(G$5=Assumptions!$F$10)*Assumptions!$F$94)*(1+Assumptions!$F$189)^(G$5-2026)</f>
        <v/>
      </c>
      <c r="H27" s="21">
        <f>'Sources &amp; Uses'!$E$42*((H$5=Assumptions!$F$10-1)*Assumptions!$F$93+(H$5=Assumptions!$F$10)*Assumptions!$F$94)*(1+Assumptions!$F$189)^(H$5-2026)</f>
        <v/>
      </c>
      <c r="I27" s="21">
        <f>'Sources &amp; Uses'!$E$42*((I$5=Assumptions!$F$10-1)*Assumptions!$F$93+(I$5=Assumptions!$F$10)*Assumptions!$F$94)*(1+Assumptions!$F$189)^(I$5-2026)</f>
        <v/>
      </c>
      <c r="J27" s="21">
        <f>'Sources &amp; Uses'!$E$42*((J$5=Assumptions!$F$10-1)*Assumptions!$F$93+(J$5=Assumptions!$F$10)*Assumptions!$F$94)*(1+Assumptions!$F$189)^(J$5-2026)</f>
        <v/>
      </c>
      <c r="K27" s="21">
        <f>'Sources &amp; Uses'!$E$42*((K$5=Assumptions!$F$10-1)*Assumptions!$F$93+(K$5=Assumptions!$F$10)*Assumptions!$F$94)*(1+Assumptions!$F$189)^(K$5-2026)</f>
        <v/>
      </c>
      <c r="L27" s="21">
        <f>'Sources &amp; Uses'!$E$42*((L$5=Assumptions!$F$10-1)*Assumptions!$F$93+(L$5=Assumptions!$F$10)*Assumptions!$F$94)*(1+Assumptions!$F$189)^(L$5-2026)</f>
        <v/>
      </c>
      <c r="M27" s="21">
        <f>'Sources &amp; Uses'!$E$42*((M$5=Assumptions!$F$10-1)*Assumptions!$F$93+(M$5=Assumptions!$F$10)*Assumptions!$F$94)*(1+Assumptions!$F$189)^(M$5-2026)</f>
        <v/>
      </c>
      <c r="N27" s="47">
        <f>SUM(D27:M27)</f>
        <v/>
      </c>
      <c r="O27" s="47">
        <f>'Sources &amp; Uses'!$E$42</f>
        <v/>
      </c>
      <c r="P27" s="47">
        <f>N27-O27</f>
        <v/>
      </c>
    </row>
    <row r="28">
      <c r="A28" s="9" t="inlineStr">
        <is>
          <t>Residence and home, 3,000 sf</t>
        </is>
      </c>
      <c r="B28" s="24" t="inlineStr">
        <is>
          <t>Phase 2</t>
        </is>
      </c>
      <c r="C28" s="24" t="inlineStr">
        <is>
          <t>Opening -1, 0</t>
        </is>
      </c>
      <c r="D28" s="21">
        <f>'Sources &amp; Uses'!$E$43*((D$5=Assumptions!$F$10-2)*Assumptions!$F$87+(D$5=Assumptions!$F$10-1)*Assumptions!$F$88+(D$5=Assumptions!$F$10)*Assumptions!$F$89)*(1+Assumptions!$F$189)^(D$5-2026)</f>
        <v/>
      </c>
      <c r="E28" s="21">
        <f>'Sources &amp; Uses'!$E$43*((E$5=Assumptions!$F$10-2)*Assumptions!$F$87+(E$5=Assumptions!$F$10-1)*Assumptions!$F$88+(E$5=Assumptions!$F$10)*Assumptions!$F$89)*(1+Assumptions!$F$189)^(E$5-2026)</f>
        <v/>
      </c>
      <c r="F28" s="21">
        <f>'Sources &amp; Uses'!$E$43*((F$5=Assumptions!$F$10-2)*Assumptions!$F$87+(F$5=Assumptions!$F$10-1)*Assumptions!$F$88+(F$5=Assumptions!$F$10)*Assumptions!$F$89)*(1+Assumptions!$F$189)^(F$5-2026)</f>
        <v/>
      </c>
      <c r="G28" s="21">
        <f>'Sources &amp; Uses'!$E$43*((G$5=Assumptions!$F$10-2)*Assumptions!$F$87+(G$5=Assumptions!$F$10-1)*Assumptions!$F$88+(G$5=Assumptions!$F$10)*Assumptions!$F$89)*(1+Assumptions!$F$189)^(G$5-2026)</f>
        <v/>
      </c>
      <c r="H28" s="21">
        <f>'Sources &amp; Uses'!$E$43*((H$5=Assumptions!$F$10-2)*Assumptions!$F$87+(H$5=Assumptions!$F$10-1)*Assumptions!$F$88+(H$5=Assumptions!$F$10)*Assumptions!$F$89)*(1+Assumptions!$F$189)^(H$5-2026)</f>
        <v/>
      </c>
      <c r="I28" s="21">
        <f>'Sources &amp; Uses'!$E$43*((I$5=Assumptions!$F$10-2)*Assumptions!$F$87+(I$5=Assumptions!$F$10-1)*Assumptions!$F$88+(I$5=Assumptions!$F$10)*Assumptions!$F$89)*(1+Assumptions!$F$189)^(I$5-2026)</f>
        <v/>
      </c>
      <c r="J28" s="21">
        <f>'Sources &amp; Uses'!$E$43*((J$5=Assumptions!$F$10-2)*Assumptions!$F$87+(J$5=Assumptions!$F$10-1)*Assumptions!$F$88+(J$5=Assumptions!$F$10)*Assumptions!$F$89)*(1+Assumptions!$F$189)^(J$5-2026)</f>
        <v/>
      </c>
      <c r="K28" s="21">
        <f>'Sources &amp; Uses'!$E$43*((K$5=Assumptions!$F$10-2)*Assumptions!$F$87+(K$5=Assumptions!$F$10-1)*Assumptions!$F$88+(K$5=Assumptions!$F$10)*Assumptions!$F$89)*(1+Assumptions!$F$189)^(K$5-2026)</f>
        <v/>
      </c>
      <c r="L28" s="21">
        <f>'Sources &amp; Uses'!$E$43*((L$5=Assumptions!$F$10-2)*Assumptions!$F$87+(L$5=Assumptions!$F$10-1)*Assumptions!$F$88+(L$5=Assumptions!$F$10)*Assumptions!$F$89)*(1+Assumptions!$F$189)^(L$5-2026)</f>
        <v/>
      </c>
      <c r="M28" s="21">
        <f>'Sources &amp; Uses'!$E$43*((M$5=Assumptions!$F$10-2)*Assumptions!$F$87+(M$5=Assumptions!$F$10-1)*Assumptions!$F$88+(M$5=Assumptions!$F$10)*Assumptions!$F$89)*(1+Assumptions!$F$189)^(M$5-2026)</f>
        <v/>
      </c>
      <c r="N28" s="47">
        <f>SUM(D28:M28)</f>
        <v/>
      </c>
      <c r="O28" s="47">
        <f>'Sources &amp; Uses'!$E$43</f>
        <v/>
      </c>
      <c r="P28" s="47">
        <f>N28-O28</f>
        <v/>
      </c>
    </row>
    <row r="29">
      <c r="A29" s="9" t="inlineStr">
        <is>
          <t>Maintenance building and staff unit, Phase 2 share (none)</t>
        </is>
      </c>
      <c r="B29" s="24" t="inlineStr">
        <is>
          <t>Phase 2</t>
        </is>
      </c>
      <c r="C29" s="24" t="inlineStr">
        <is>
          <t>Opening -1, 0</t>
        </is>
      </c>
      <c r="D29" s="21">
        <f>'Sources &amp; Uses'!$E$44*((D$5=Assumptions!$F$10-2)*Assumptions!$F$87+(D$5=Assumptions!$F$10-1)*Assumptions!$F$88+(D$5=Assumptions!$F$10)*Assumptions!$F$89)*(1+Assumptions!$F$189)^(D$5-2026)</f>
        <v/>
      </c>
      <c r="E29" s="21">
        <f>'Sources &amp; Uses'!$E$44*((E$5=Assumptions!$F$10-2)*Assumptions!$F$87+(E$5=Assumptions!$F$10-1)*Assumptions!$F$88+(E$5=Assumptions!$F$10)*Assumptions!$F$89)*(1+Assumptions!$F$189)^(E$5-2026)</f>
        <v/>
      </c>
      <c r="F29" s="21">
        <f>'Sources &amp; Uses'!$E$44*((F$5=Assumptions!$F$10-2)*Assumptions!$F$87+(F$5=Assumptions!$F$10-1)*Assumptions!$F$88+(F$5=Assumptions!$F$10)*Assumptions!$F$89)*(1+Assumptions!$F$189)^(F$5-2026)</f>
        <v/>
      </c>
      <c r="G29" s="21">
        <f>'Sources &amp; Uses'!$E$44*((G$5=Assumptions!$F$10-2)*Assumptions!$F$87+(G$5=Assumptions!$F$10-1)*Assumptions!$F$88+(G$5=Assumptions!$F$10)*Assumptions!$F$89)*(1+Assumptions!$F$189)^(G$5-2026)</f>
        <v/>
      </c>
      <c r="H29" s="21">
        <f>'Sources &amp; Uses'!$E$44*((H$5=Assumptions!$F$10-2)*Assumptions!$F$87+(H$5=Assumptions!$F$10-1)*Assumptions!$F$88+(H$5=Assumptions!$F$10)*Assumptions!$F$89)*(1+Assumptions!$F$189)^(H$5-2026)</f>
        <v/>
      </c>
      <c r="I29" s="21">
        <f>'Sources &amp; Uses'!$E$44*((I$5=Assumptions!$F$10-2)*Assumptions!$F$87+(I$5=Assumptions!$F$10-1)*Assumptions!$F$88+(I$5=Assumptions!$F$10)*Assumptions!$F$89)*(1+Assumptions!$F$189)^(I$5-2026)</f>
        <v/>
      </c>
      <c r="J29" s="21">
        <f>'Sources &amp; Uses'!$E$44*((J$5=Assumptions!$F$10-2)*Assumptions!$F$87+(J$5=Assumptions!$F$10-1)*Assumptions!$F$88+(J$5=Assumptions!$F$10)*Assumptions!$F$89)*(1+Assumptions!$F$189)^(J$5-2026)</f>
        <v/>
      </c>
      <c r="K29" s="21">
        <f>'Sources &amp; Uses'!$E$44*((K$5=Assumptions!$F$10-2)*Assumptions!$F$87+(K$5=Assumptions!$F$10-1)*Assumptions!$F$88+(K$5=Assumptions!$F$10)*Assumptions!$F$89)*(1+Assumptions!$F$189)^(K$5-2026)</f>
        <v/>
      </c>
      <c r="L29" s="21">
        <f>'Sources &amp; Uses'!$E$44*((L$5=Assumptions!$F$10-2)*Assumptions!$F$87+(L$5=Assumptions!$F$10-1)*Assumptions!$F$88+(L$5=Assumptions!$F$10)*Assumptions!$F$89)*(1+Assumptions!$F$189)^(L$5-2026)</f>
        <v/>
      </c>
      <c r="M29" s="21">
        <f>'Sources &amp; Uses'!$E$44*((M$5=Assumptions!$F$10-2)*Assumptions!$F$87+(M$5=Assumptions!$F$10-1)*Assumptions!$F$88+(M$5=Assumptions!$F$10)*Assumptions!$F$89)*(1+Assumptions!$F$189)^(M$5-2026)</f>
        <v/>
      </c>
      <c r="N29" s="47">
        <f>SUM(D29:M29)</f>
        <v/>
      </c>
      <c r="O29" s="47">
        <f>'Sources &amp; Uses'!$E$44</f>
        <v/>
      </c>
      <c r="P29" s="47">
        <f>N29-O29</f>
        <v/>
      </c>
    </row>
    <row r="30">
      <c r="A30" s="9" t="inlineStr">
        <is>
          <t>Landscaping and artwork, Phase 2 share</t>
        </is>
      </c>
      <c r="B30" s="24" t="inlineStr">
        <is>
          <t>Phase 2</t>
        </is>
      </c>
      <c r="C30" s="24" t="inlineStr">
        <is>
          <t>Opening -1, 0</t>
        </is>
      </c>
      <c r="D30" s="21">
        <f>'Sources &amp; Uses'!$E$45*((D$5=Assumptions!$F$10-2)*Assumptions!$F$87+(D$5=Assumptions!$F$10-1)*Assumptions!$F$88+(D$5=Assumptions!$F$10)*Assumptions!$F$89)*(1+Assumptions!$F$189)^(D$5-2026)</f>
        <v/>
      </c>
      <c r="E30" s="21">
        <f>'Sources &amp; Uses'!$E$45*((E$5=Assumptions!$F$10-2)*Assumptions!$F$87+(E$5=Assumptions!$F$10-1)*Assumptions!$F$88+(E$5=Assumptions!$F$10)*Assumptions!$F$89)*(1+Assumptions!$F$189)^(E$5-2026)</f>
        <v/>
      </c>
      <c r="F30" s="21">
        <f>'Sources &amp; Uses'!$E$45*((F$5=Assumptions!$F$10-2)*Assumptions!$F$87+(F$5=Assumptions!$F$10-1)*Assumptions!$F$88+(F$5=Assumptions!$F$10)*Assumptions!$F$89)*(1+Assumptions!$F$189)^(F$5-2026)</f>
        <v/>
      </c>
      <c r="G30" s="21">
        <f>'Sources &amp; Uses'!$E$45*((G$5=Assumptions!$F$10-2)*Assumptions!$F$87+(G$5=Assumptions!$F$10-1)*Assumptions!$F$88+(G$5=Assumptions!$F$10)*Assumptions!$F$89)*(1+Assumptions!$F$189)^(G$5-2026)</f>
        <v/>
      </c>
      <c r="H30" s="21">
        <f>'Sources &amp; Uses'!$E$45*((H$5=Assumptions!$F$10-2)*Assumptions!$F$87+(H$5=Assumptions!$F$10-1)*Assumptions!$F$88+(H$5=Assumptions!$F$10)*Assumptions!$F$89)*(1+Assumptions!$F$189)^(H$5-2026)</f>
        <v/>
      </c>
      <c r="I30" s="21">
        <f>'Sources &amp; Uses'!$E$45*((I$5=Assumptions!$F$10-2)*Assumptions!$F$87+(I$5=Assumptions!$F$10-1)*Assumptions!$F$88+(I$5=Assumptions!$F$10)*Assumptions!$F$89)*(1+Assumptions!$F$189)^(I$5-2026)</f>
        <v/>
      </c>
      <c r="J30" s="21">
        <f>'Sources &amp; Uses'!$E$45*((J$5=Assumptions!$F$10-2)*Assumptions!$F$87+(J$5=Assumptions!$F$10-1)*Assumptions!$F$88+(J$5=Assumptions!$F$10)*Assumptions!$F$89)*(1+Assumptions!$F$189)^(J$5-2026)</f>
        <v/>
      </c>
      <c r="K30" s="21">
        <f>'Sources &amp; Uses'!$E$45*((K$5=Assumptions!$F$10-2)*Assumptions!$F$87+(K$5=Assumptions!$F$10-1)*Assumptions!$F$88+(K$5=Assumptions!$F$10)*Assumptions!$F$89)*(1+Assumptions!$F$189)^(K$5-2026)</f>
        <v/>
      </c>
      <c r="L30" s="21">
        <f>'Sources &amp; Uses'!$E$45*((L$5=Assumptions!$F$10-2)*Assumptions!$F$87+(L$5=Assumptions!$F$10-1)*Assumptions!$F$88+(L$5=Assumptions!$F$10)*Assumptions!$F$89)*(1+Assumptions!$F$189)^(L$5-2026)</f>
        <v/>
      </c>
      <c r="M30" s="21">
        <f>'Sources &amp; Uses'!$E$45*((M$5=Assumptions!$F$10-2)*Assumptions!$F$87+(M$5=Assumptions!$F$10-1)*Assumptions!$F$88+(M$5=Assumptions!$F$10)*Assumptions!$F$89)*(1+Assumptions!$F$189)^(M$5-2026)</f>
        <v/>
      </c>
      <c r="N30" s="47">
        <f>SUM(D30:M30)</f>
        <v/>
      </c>
      <c r="O30" s="47">
        <f>'Sources &amp; Uses'!$E$45</f>
        <v/>
      </c>
      <c r="P30" s="47">
        <f>N30-O30</f>
        <v/>
      </c>
    </row>
    <row r="31">
      <c r="A31" s="9" t="inlineStr">
        <is>
          <t>FF&amp;E, Phase 2 share</t>
        </is>
      </c>
      <c r="B31" s="24" t="inlineStr">
        <is>
          <t>Phase 2</t>
        </is>
      </c>
      <c r="C31" s="24" t="inlineStr">
        <is>
          <t>Opening year</t>
        </is>
      </c>
      <c r="D31" s="21">
        <f>'Sources &amp; Uses'!$E$46*(D$5=Assumptions!$F$10)*(1+Assumptions!$F$189)^(D$5-2026)</f>
        <v/>
      </c>
      <c r="E31" s="21">
        <f>'Sources &amp; Uses'!$E$46*(E$5=Assumptions!$F$10)*(1+Assumptions!$F$189)^(E$5-2026)</f>
        <v/>
      </c>
      <c r="F31" s="21">
        <f>'Sources &amp; Uses'!$E$46*(F$5=Assumptions!$F$10)*(1+Assumptions!$F$189)^(F$5-2026)</f>
        <v/>
      </c>
      <c r="G31" s="21">
        <f>'Sources &amp; Uses'!$E$46*(G$5=Assumptions!$F$10)*(1+Assumptions!$F$189)^(G$5-2026)</f>
        <v/>
      </c>
      <c r="H31" s="21">
        <f>'Sources &amp; Uses'!$E$46*(H$5=Assumptions!$F$10)*(1+Assumptions!$F$189)^(H$5-2026)</f>
        <v/>
      </c>
      <c r="I31" s="21">
        <f>'Sources &amp; Uses'!$E$46*(I$5=Assumptions!$F$10)*(1+Assumptions!$F$189)^(I$5-2026)</f>
        <v/>
      </c>
      <c r="J31" s="21">
        <f>'Sources &amp; Uses'!$E$46*(J$5=Assumptions!$F$10)*(1+Assumptions!$F$189)^(J$5-2026)</f>
        <v/>
      </c>
      <c r="K31" s="21">
        <f>'Sources &amp; Uses'!$E$46*(K$5=Assumptions!$F$10)*(1+Assumptions!$F$189)^(K$5-2026)</f>
        <v/>
      </c>
      <c r="L31" s="21">
        <f>'Sources &amp; Uses'!$E$46*(L$5=Assumptions!$F$10)*(1+Assumptions!$F$189)^(L$5-2026)</f>
        <v/>
      </c>
      <c r="M31" s="21">
        <f>'Sources &amp; Uses'!$E$46*(M$5=Assumptions!$F$10)*(1+Assumptions!$F$189)^(M$5-2026)</f>
        <v/>
      </c>
      <c r="N31" s="47">
        <f>SUM(D31:M31)</f>
        <v/>
      </c>
      <c r="O31" s="47">
        <f>'Sources &amp; Uses'!$E$46</f>
        <v/>
      </c>
      <c r="P31" s="47">
        <f>N31-O31</f>
        <v/>
      </c>
    </row>
    <row r="32">
      <c r="A32" s="9" t="inlineStr">
        <is>
          <t>Soft costs, Phase 2</t>
        </is>
      </c>
      <c r="B32" s="24" t="inlineStr">
        <is>
          <t>Phase 2</t>
        </is>
      </c>
      <c r="C32" s="24" t="inlineStr">
        <is>
          <t>Opening -3 to 0</t>
        </is>
      </c>
      <c r="D32" s="21">
        <f>'Sources &amp; Uses'!$E$47*((D$5=Assumptions!$F$10-4)*Assumptions!$F$79+(D$5=Assumptions!$F$10-3)*Assumptions!$F$80+(D$5=Assumptions!$F$10-2)*Assumptions!$F$81+(D$5=Assumptions!$F$10-1)*Assumptions!$F$82+(D$5=Assumptions!$F$10)*Assumptions!$F$83)*(1+Assumptions!$F$189)^(D$5-2026)</f>
        <v/>
      </c>
      <c r="E32" s="21">
        <f>'Sources &amp; Uses'!$E$47*((E$5=Assumptions!$F$10-4)*Assumptions!$F$79+(E$5=Assumptions!$F$10-3)*Assumptions!$F$80+(E$5=Assumptions!$F$10-2)*Assumptions!$F$81+(E$5=Assumptions!$F$10-1)*Assumptions!$F$82+(E$5=Assumptions!$F$10)*Assumptions!$F$83)*(1+Assumptions!$F$189)^(E$5-2026)</f>
        <v/>
      </c>
      <c r="F32" s="21">
        <f>'Sources &amp; Uses'!$E$47*((F$5=Assumptions!$F$10-4)*Assumptions!$F$79+(F$5=Assumptions!$F$10-3)*Assumptions!$F$80+(F$5=Assumptions!$F$10-2)*Assumptions!$F$81+(F$5=Assumptions!$F$10-1)*Assumptions!$F$82+(F$5=Assumptions!$F$10)*Assumptions!$F$83)*(1+Assumptions!$F$189)^(F$5-2026)</f>
        <v/>
      </c>
      <c r="G32" s="21">
        <f>'Sources &amp; Uses'!$E$47*((G$5=Assumptions!$F$10-4)*Assumptions!$F$79+(G$5=Assumptions!$F$10-3)*Assumptions!$F$80+(G$5=Assumptions!$F$10-2)*Assumptions!$F$81+(G$5=Assumptions!$F$10-1)*Assumptions!$F$82+(G$5=Assumptions!$F$10)*Assumptions!$F$83)*(1+Assumptions!$F$189)^(G$5-2026)</f>
        <v/>
      </c>
      <c r="H32" s="21">
        <f>'Sources &amp; Uses'!$E$47*((H$5=Assumptions!$F$10-4)*Assumptions!$F$79+(H$5=Assumptions!$F$10-3)*Assumptions!$F$80+(H$5=Assumptions!$F$10-2)*Assumptions!$F$81+(H$5=Assumptions!$F$10-1)*Assumptions!$F$82+(H$5=Assumptions!$F$10)*Assumptions!$F$83)*(1+Assumptions!$F$189)^(H$5-2026)</f>
        <v/>
      </c>
      <c r="I32" s="21">
        <f>'Sources &amp; Uses'!$E$47*((I$5=Assumptions!$F$10-4)*Assumptions!$F$79+(I$5=Assumptions!$F$10-3)*Assumptions!$F$80+(I$5=Assumptions!$F$10-2)*Assumptions!$F$81+(I$5=Assumptions!$F$10-1)*Assumptions!$F$82+(I$5=Assumptions!$F$10)*Assumptions!$F$83)*(1+Assumptions!$F$189)^(I$5-2026)</f>
        <v/>
      </c>
      <c r="J32" s="21">
        <f>'Sources &amp; Uses'!$E$47*((J$5=Assumptions!$F$10-4)*Assumptions!$F$79+(J$5=Assumptions!$F$10-3)*Assumptions!$F$80+(J$5=Assumptions!$F$10-2)*Assumptions!$F$81+(J$5=Assumptions!$F$10-1)*Assumptions!$F$82+(J$5=Assumptions!$F$10)*Assumptions!$F$83)*(1+Assumptions!$F$189)^(J$5-2026)</f>
        <v/>
      </c>
      <c r="K32" s="21">
        <f>'Sources &amp; Uses'!$E$47*((K$5=Assumptions!$F$10-4)*Assumptions!$F$79+(K$5=Assumptions!$F$10-3)*Assumptions!$F$80+(K$5=Assumptions!$F$10-2)*Assumptions!$F$81+(K$5=Assumptions!$F$10-1)*Assumptions!$F$82+(K$5=Assumptions!$F$10)*Assumptions!$F$83)*(1+Assumptions!$F$189)^(K$5-2026)</f>
        <v/>
      </c>
      <c r="L32" s="21">
        <f>'Sources &amp; Uses'!$E$47*((L$5=Assumptions!$F$10-4)*Assumptions!$F$79+(L$5=Assumptions!$F$10-3)*Assumptions!$F$80+(L$5=Assumptions!$F$10-2)*Assumptions!$F$81+(L$5=Assumptions!$F$10-1)*Assumptions!$F$82+(L$5=Assumptions!$F$10)*Assumptions!$F$83)*(1+Assumptions!$F$189)^(L$5-2026)</f>
        <v/>
      </c>
      <c r="M32" s="21">
        <f>'Sources &amp; Uses'!$E$47*((M$5=Assumptions!$F$10-4)*Assumptions!$F$79+(M$5=Assumptions!$F$10-3)*Assumptions!$F$80+(M$5=Assumptions!$F$10-2)*Assumptions!$F$81+(M$5=Assumptions!$F$10-1)*Assumptions!$F$82+(M$5=Assumptions!$F$10)*Assumptions!$F$83)*(1+Assumptions!$F$189)^(M$5-2026)</f>
        <v/>
      </c>
      <c r="N32" s="47">
        <f>SUM(D32:M32)</f>
        <v/>
      </c>
      <c r="O32" s="47">
        <f>'Sources &amp; Uses'!$E$47</f>
        <v/>
      </c>
      <c r="P32" s="47">
        <f>N32-O32</f>
        <v/>
      </c>
    </row>
    <row r="33">
      <c r="A33" s="9" t="inlineStr">
        <is>
          <t>Contingency, Phase 2</t>
        </is>
      </c>
      <c r="B33" s="24" t="inlineStr">
        <is>
          <t>Phase 2</t>
        </is>
      </c>
      <c r="C33" s="24" t="inlineStr">
        <is>
          <t>Opening -1, 0</t>
        </is>
      </c>
      <c r="D33" s="21">
        <f>'Sources &amp; Uses'!$E$48*((D$5=Assumptions!$F$10-2)*Assumptions!$F$87+(D$5=Assumptions!$F$10-1)*Assumptions!$F$88+(D$5=Assumptions!$F$10)*Assumptions!$F$89)*(1+Assumptions!$F$189)^(D$5-2026)</f>
        <v/>
      </c>
      <c r="E33" s="21">
        <f>'Sources &amp; Uses'!$E$48*((E$5=Assumptions!$F$10-2)*Assumptions!$F$87+(E$5=Assumptions!$F$10-1)*Assumptions!$F$88+(E$5=Assumptions!$F$10)*Assumptions!$F$89)*(1+Assumptions!$F$189)^(E$5-2026)</f>
        <v/>
      </c>
      <c r="F33" s="21">
        <f>'Sources &amp; Uses'!$E$48*((F$5=Assumptions!$F$10-2)*Assumptions!$F$87+(F$5=Assumptions!$F$10-1)*Assumptions!$F$88+(F$5=Assumptions!$F$10)*Assumptions!$F$89)*(1+Assumptions!$F$189)^(F$5-2026)</f>
        <v/>
      </c>
      <c r="G33" s="21">
        <f>'Sources &amp; Uses'!$E$48*((G$5=Assumptions!$F$10-2)*Assumptions!$F$87+(G$5=Assumptions!$F$10-1)*Assumptions!$F$88+(G$5=Assumptions!$F$10)*Assumptions!$F$89)*(1+Assumptions!$F$189)^(G$5-2026)</f>
        <v/>
      </c>
      <c r="H33" s="21">
        <f>'Sources &amp; Uses'!$E$48*((H$5=Assumptions!$F$10-2)*Assumptions!$F$87+(H$5=Assumptions!$F$10-1)*Assumptions!$F$88+(H$5=Assumptions!$F$10)*Assumptions!$F$89)*(1+Assumptions!$F$189)^(H$5-2026)</f>
        <v/>
      </c>
      <c r="I33" s="21">
        <f>'Sources &amp; Uses'!$E$48*((I$5=Assumptions!$F$10-2)*Assumptions!$F$87+(I$5=Assumptions!$F$10-1)*Assumptions!$F$88+(I$5=Assumptions!$F$10)*Assumptions!$F$89)*(1+Assumptions!$F$189)^(I$5-2026)</f>
        <v/>
      </c>
      <c r="J33" s="21">
        <f>'Sources &amp; Uses'!$E$48*((J$5=Assumptions!$F$10-2)*Assumptions!$F$87+(J$5=Assumptions!$F$10-1)*Assumptions!$F$88+(J$5=Assumptions!$F$10)*Assumptions!$F$89)*(1+Assumptions!$F$189)^(J$5-2026)</f>
        <v/>
      </c>
      <c r="K33" s="21">
        <f>'Sources &amp; Uses'!$E$48*((K$5=Assumptions!$F$10-2)*Assumptions!$F$87+(K$5=Assumptions!$F$10-1)*Assumptions!$F$88+(K$5=Assumptions!$F$10)*Assumptions!$F$89)*(1+Assumptions!$F$189)^(K$5-2026)</f>
        <v/>
      </c>
      <c r="L33" s="21">
        <f>'Sources &amp; Uses'!$E$48*((L$5=Assumptions!$F$10-2)*Assumptions!$F$87+(L$5=Assumptions!$F$10-1)*Assumptions!$F$88+(L$5=Assumptions!$F$10)*Assumptions!$F$89)*(1+Assumptions!$F$189)^(L$5-2026)</f>
        <v/>
      </c>
      <c r="M33" s="21">
        <f>'Sources &amp; Uses'!$E$48*((M$5=Assumptions!$F$10-2)*Assumptions!$F$87+(M$5=Assumptions!$F$10-1)*Assumptions!$F$88+(M$5=Assumptions!$F$10)*Assumptions!$F$89)*(1+Assumptions!$F$189)^(M$5-2026)</f>
        <v/>
      </c>
      <c r="N33" s="47">
        <f>SUM(D33:M33)</f>
        <v/>
      </c>
      <c r="O33" s="47">
        <f>'Sources &amp; Uses'!$E$48</f>
        <v/>
      </c>
      <c r="P33" s="47">
        <f>N33-O33</f>
        <v/>
      </c>
    </row>
    <row r="34">
      <c r="A34" s="9" t="inlineStr">
        <is>
          <t>Site infrastructure, Phase 3 share</t>
        </is>
      </c>
      <c r="B34" s="24" t="inlineStr">
        <is>
          <t>Phase 3</t>
        </is>
      </c>
      <c r="C34" s="24" t="inlineStr">
        <is>
          <t>Opening -2 to 0</t>
        </is>
      </c>
      <c r="D34" s="21">
        <f>'Sources &amp; Uses'!$E$51*((D$5=Assumptions!$F$11-2)*Assumptions!$F$90+(D$5=Assumptions!$F$11-1)*Assumptions!$F$91+(D$5=Assumptions!$F$11)*Assumptions!$F$92)*(1+Assumptions!$F$189)^(D$5-2026)</f>
        <v/>
      </c>
      <c r="E34" s="21">
        <f>'Sources &amp; Uses'!$E$51*((E$5=Assumptions!$F$11-2)*Assumptions!$F$90+(E$5=Assumptions!$F$11-1)*Assumptions!$F$91+(E$5=Assumptions!$F$11)*Assumptions!$F$92)*(1+Assumptions!$F$189)^(E$5-2026)</f>
        <v/>
      </c>
      <c r="F34" s="21">
        <f>'Sources &amp; Uses'!$E$51*((F$5=Assumptions!$F$11-2)*Assumptions!$F$90+(F$5=Assumptions!$F$11-1)*Assumptions!$F$91+(F$5=Assumptions!$F$11)*Assumptions!$F$92)*(1+Assumptions!$F$189)^(F$5-2026)</f>
        <v/>
      </c>
      <c r="G34" s="21">
        <f>'Sources &amp; Uses'!$E$51*((G$5=Assumptions!$F$11-2)*Assumptions!$F$90+(G$5=Assumptions!$F$11-1)*Assumptions!$F$91+(G$5=Assumptions!$F$11)*Assumptions!$F$92)*(1+Assumptions!$F$189)^(G$5-2026)</f>
        <v/>
      </c>
      <c r="H34" s="21">
        <f>'Sources &amp; Uses'!$E$51*((H$5=Assumptions!$F$11-2)*Assumptions!$F$90+(H$5=Assumptions!$F$11-1)*Assumptions!$F$91+(H$5=Assumptions!$F$11)*Assumptions!$F$92)*(1+Assumptions!$F$189)^(H$5-2026)</f>
        <v/>
      </c>
      <c r="I34" s="21">
        <f>'Sources &amp; Uses'!$E$51*((I$5=Assumptions!$F$11-2)*Assumptions!$F$90+(I$5=Assumptions!$F$11-1)*Assumptions!$F$91+(I$5=Assumptions!$F$11)*Assumptions!$F$92)*(1+Assumptions!$F$189)^(I$5-2026)</f>
        <v/>
      </c>
      <c r="J34" s="21">
        <f>'Sources &amp; Uses'!$E$51*((J$5=Assumptions!$F$11-2)*Assumptions!$F$90+(J$5=Assumptions!$F$11-1)*Assumptions!$F$91+(J$5=Assumptions!$F$11)*Assumptions!$F$92)*(1+Assumptions!$F$189)^(J$5-2026)</f>
        <v/>
      </c>
      <c r="K34" s="21">
        <f>'Sources &amp; Uses'!$E$51*((K$5=Assumptions!$F$11-2)*Assumptions!$F$90+(K$5=Assumptions!$F$11-1)*Assumptions!$F$91+(K$5=Assumptions!$F$11)*Assumptions!$F$92)*(1+Assumptions!$F$189)^(K$5-2026)</f>
        <v/>
      </c>
      <c r="L34" s="21">
        <f>'Sources &amp; Uses'!$E$51*((L$5=Assumptions!$F$11-2)*Assumptions!$F$90+(L$5=Assumptions!$F$11-1)*Assumptions!$F$91+(L$5=Assumptions!$F$11)*Assumptions!$F$92)*(1+Assumptions!$F$189)^(L$5-2026)</f>
        <v/>
      </c>
      <c r="M34" s="21">
        <f>'Sources &amp; Uses'!$E$51*((M$5=Assumptions!$F$11-2)*Assumptions!$F$90+(M$5=Assumptions!$F$11-1)*Assumptions!$F$91+(M$5=Assumptions!$F$11)*Assumptions!$F$92)*(1+Assumptions!$F$189)^(M$5-2026)</f>
        <v/>
      </c>
      <c r="N34" s="47">
        <f>SUM(D34:M34)</f>
        <v/>
      </c>
      <c r="O34" s="47">
        <f>'Sources &amp; Uses'!$E$51</f>
        <v/>
      </c>
      <c r="P34" s="47">
        <f>N34-O34</f>
        <v/>
      </c>
    </row>
    <row r="35">
      <c r="A35" s="9" t="inlineStr">
        <is>
          <t>Listening room and gallery barn, 3,000 sf</t>
        </is>
      </c>
      <c r="B35" s="24" t="inlineStr">
        <is>
          <t>Phase 3</t>
        </is>
      </c>
      <c r="C35" s="24" t="inlineStr">
        <is>
          <t>Opening -2 to 0</t>
        </is>
      </c>
      <c r="D35" s="21">
        <f>'Sources &amp; Uses'!$E$52*((D$5=Assumptions!$F$11-2)*Assumptions!$F$90+(D$5=Assumptions!$F$11-1)*Assumptions!$F$91+(D$5=Assumptions!$F$11)*Assumptions!$F$92)*(1+Assumptions!$F$189)^(D$5-2026)</f>
        <v/>
      </c>
      <c r="E35" s="21">
        <f>'Sources &amp; Uses'!$E$52*((E$5=Assumptions!$F$11-2)*Assumptions!$F$90+(E$5=Assumptions!$F$11-1)*Assumptions!$F$91+(E$5=Assumptions!$F$11)*Assumptions!$F$92)*(1+Assumptions!$F$189)^(E$5-2026)</f>
        <v/>
      </c>
      <c r="F35" s="21">
        <f>'Sources &amp; Uses'!$E$52*((F$5=Assumptions!$F$11-2)*Assumptions!$F$90+(F$5=Assumptions!$F$11-1)*Assumptions!$F$91+(F$5=Assumptions!$F$11)*Assumptions!$F$92)*(1+Assumptions!$F$189)^(F$5-2026)</f>
        <v/>
      </c>
      <c r="G35" s="21">
        <f>'Sources &amp; Uses'!$E$52*((G$5=Assumptions!$F$11-2)*Assumptions!$F$90+(G$5=Assumptions!$F$11-1)*Assumptions!$F$91+(G$5=Assumptions!$F$11)*Assumptions!$F$92)*(1+Assumptions!$F$189)^(G$5-2026)</f>
        <v/>
      </c>
      <c r="H35" s="21">
        <f>'Sources &amp; Uses'!$E$52*((H$5=Assumptions!$F$11-2)*Assumptions!$F$90+(H$5=Assumptions!$F$11-1)*Assumptions!$F$91+(H$5=Assumptions!$F$11)*Assumptions!$F$92)*(1+Assumptions!$F$189)^(H$5-2026)</f>
        <v/>
      </c>
      <c r="I35" s="21">
        <f>'Sources &amp; Uses'!$E$52*((I$5=Assumptions!$F$11-2)*Assumptions!$F$90+(I$5=Assumptions!$F$11-1)*Assumptions!$F$91+(I$5=Assumptions!$F$11)*Assumptions!$F$92)*(1+Assumptions!$F$189)^(I$5-2026)</f>
        <v/>
      </c>
      <c r="J35" s="21">
        <f>'Sources &amp; Uses'!$E$52*((J$5=Assumptions!$F$11-2)*Assumptions!$F$90+(J$5=Assumptions!$F$11-1)*Assumptions!$F$91+(J$5=Assumptions!$F$11)*Assumptions!$F$92)*(1+Assumptions!$F$189)^(J$5-2026)</f>
        <v/>
      </c>
      <c r="K35" s="21">
        <f>'Sources &amp; Uses'!$E$52*((K$5=Assumptions!$F$11-2)*Assumptions!$F$90+(K$5=Assumptions!$F$11-1)*Assumptions!$F$91+(K$5=Assumptions!$F$11)*Assumptions!$F$92)*(1+Assumptions!$F$189)^(K$5-2026)</f>
        <v/>
      </c>
      <c r="L35" s="21">
        <f>'Sources &amp; Uses'!$E$52*((L$5=Assumptions!$F$11-2)*Assumptions!$F$90+(L$5=Assumptions!$F$11-1)*Assumptions!$F$91+(L$5=Assumptions!$F$11)*Assumptions!$F$92)*(1+Assumptions!$F$189)^(L$5-2026)</f>
        <v/>
      </c>
      <c r="M35" s="21">
        <f>'Sources &amp; Uses'!$E$52*((M$5=Assumptions!$F$11-2)*Assumptions!$F$90+(M$5=Assumptions!$F$11-1)*Assumptions!$F$91+(M$5=Assumptions!$F$11)*Assumptions!$F$92)*(1+Assumptions!$F$189)^(M$5-2026)</f>
        <v/>
      </c>
      <c r="N35" s="47">
        <f>SUM(D35:M35)</f>
        <v/>
      </c>
      <c r="O35" s="47">
        <f>'Sources &amp; Uses'!$E$52</f>
        <v/>
      </c>
      <c r="P35" s="47">
        <f>N35-O35</f>
        <v/>
      </c>
    </row>
    <row r="36">
      <c r="A36" s="9" t="inlineStr">
        <is>
          <t>Commercial kitchen in the gallery barn</t>
        </is>
      </c>
      <c r="B36" s="24" t="inlineStr">
        <is>
          <t>Phase 3</t>
        </is>
      </c>
      <c r="C36" s="24" t="inlineStr">
        <is>
          <t>Opening -2 to 0</t>
        </is>
      </c>
      <c r="D36" s="21">
        <f>'Sources &amp; Uses'!$E$53*((D$5=Assumptions!$F$11-2)*Assumptions!$F$90+(D$5=Assumptions!$F$11-1)*Assumptions!$F$91+(D$5=Assumptions!$F$11)*Assumptions!$F$92)*(1+Assumptions!$F$189)^(D$5-2026)</f>
        <v/>
      </c>
      <c r="E36" s="21">
        <f>'Sources &amp; Uses'!$E$53*((E$5=Assumptions!$F$11-2)*Assumptions!$F$90+(E$5=Assumptions!$F$11-1)*Assumptions!$F$91+(E$5=Assumptions!$F$11)*Assumptions!$F$92)*(1+Assumptions!$F$189)^(E$5-2026)</f>
        <v/>
      </c>
      <c r="F36" s="21">
        <f>'Sources &amp; Uses'!$E$53*((F$5=Assumptions!$F$11-2)*Assumptions!$F$90+(F$5=Assumptions!$F$11-1)*Assumptions!$F$91+(F$5=Assumptions!$F$11)*Assumptions!$F$92)*(1+Assumptions!$F$189)^(F$5-2026)</f>
        <v/>
      </c>
      <c r="G36" s="21">
        <f>'Sources &amp; Uses'!$E$53*((G$5=Assumptions!$F$11-2)*Assumptions!$F$90+(G$5=Assumptions!$F$11-1)*Assumptions!$F$91+(G$5=Assumptions!$F$11)*Assumptions!$F$92)*(1+Assumptions!$F$189)^(G$5-2026)</f>
        <v/>
      </c>
      <c r="H36" s="21">
        <f>'Sources &amp; Uses'!$E$53*((H$5=Assumptions!$F$11-2)*Assumptions!$F$90+(H$5=Assumptions!$F$11-1)*Assumptions!$F$91+(H$5=Assumptions!$F$11)*Assumptions!$F$92)*(1+Assumptions!$F$189)^(H$5-2026)</f>
        <v/>
      </c>
      <c r="I36" s="21">
        <f>'Sources &amp; Uses'!$E$53*((I$5=Assumptions!$F$11-2)*Assumptions!$F$90+(I$5=Assumptions!$F$11-1)*Assumptions!$F$91+(I$5=Assumptions!$F$11)*Assumptions!$F$92)*(1+Assumptions!$F$189)^(I$5-2026)</f>
        <v/>
      </c>
      <c r="J36" s="21">
        <f>'Sources &amp; Uses'!$E$53*((J$5=Assumptions!$F$11-2)*Assumptions!$F$90+(J$5=Assumptions!$F$11-1)*Assumptions!$F$91+(J$5=Assumptions!$F$11)*Assumptions!$F$92)*(1+Assumptions!$F$189)^(J$5-2026)</f>
        <v/>
      </c>
      <c r="K36" s="21">
        <f>'Sources &amp; Uses'!$E$53*((K$5=Assumptions!$F$11-2)*Assumptions!$F$90+(K$5=Assumptions!$F$11-1)*Assumptions!$F$91+(K$5=Assumptions!$F$11)*Assumptions!$F$92)*(1+Assumptions!$F$189)^(K$5-2026)</f>
        <v/>
      </c>
      <c r="L36" s="21">
        <f>'Sources &amp; Uses'!$E$53*((L$5=Assumptions!$F$11-2)*Assumptions!$F$90+(L$5=Assumptions!$F$11-1)*Assumptions!$F$91+(L$5=Assumptions!$F$11)*Assumptions!$F$92)*(1+Assumptions!$F$189)^(L$5-2026)</f>
        <v/>
      </c>
      <c r="M36" s="21">
        <f>'Sources &amp; Uses'!$E$53*((M$5=Assumptions!$F$11-2)*Assumptions!$F$90+(M$5=Assumptions!$F$11-1)*Assumptions!$F$91+(M$5=Assumptions!$F$11)*Assumptions!$F$92)*(1+Assumptions!$F$189)^(M$5-2026)</f>
        <v/>
      </c>
      <c r="N36" s="47">
        <f>SUM(D36:M36)</f>
        <v/>
      </c>
      <c r="O36" s="47">
        <f>'Sources &amp; Uses'!$E$53</f>
        <v/>
      </c>
      <c r="P36" s="47">
        <f>N36-O36</f>
        <v/>
      </c>
    </row>
    <row r="37">
      <c r="A37" s="9" t="inlineStr">
        <is>
          <t>Gallery contents (none budgeted)</t>
        </is>
      </c>
      <c r="B37" s="24" t="inlineStr">
        <is>
          <t>Phase 3</t>
        </is>
      </c>
      <c r="C37" s="24" t="inlineStr">
        <is>
          <t>Opening -1, 0</t>
        </is>
      </c>
      <c r="D37" s="21">
        <f>'Sources &amp; Uses'!$E$54*((D$5=Assumptions!$F$11-1)*Assumptions!$F$95+(D$5=Assumptions!$F$11)*Assumptions!$F$96)*(1+Assumptions!$F$189)^(D$5-2026)</f>
        <v/>
      </c>
      <c r="E37" s="21">
        <f>'Sources &amp; Uses'!$E$54*((E$5=Assumptions!$F$11-1)*Assumptions!$F$95+(E$5=Assumptions!$F$11)*Assumptions!$F$96)*(1+Assumptions!$F$189)^(E$5-2026)</f>
        <v/>
      </c>
      <c r="F37" s="21">
        <f>'Sources &amp; Uses'!$E$54*((F$5=Assumptions!$F$11-1)*Assumptions!$F$95+(F$5=Assumptions!$F$11)*Assumptions!$F$96)*(1+Assumptions!$F$189)^(F$5-2026)</f>
        <v/>
      </c>
      <c r="G37" s="21">
        <f>'Sources &amp; Uses'!$E$54*((G$5=Assumptions!$F$11-1)*Assumptions!$F$95+(G$5=Assumptions!$F$11)*Assumptions!$F$96)*(1+Assumptions!$F$189)^(G$5-2026)</f>
        <v/>
      </c>
      <c r="H37" s="21">
        <f>'Sources &amp; Uses'!$E$54*((H$5=Assumptions!$F$11-1)*Assumptions!$F$95+(H$5=Assumptions!$F$11)*Assumptions!$F$96)*(1+Assumptions!$F$189)^(H$5-2026)</f>
        <v/>
      </c>
      <c r="I37" s="21">
        <f>'Sources &amp; Uses'!$E$54*((I$5=Assumptions!$F$11-1)*Assumptions!$F$95+(I$5=Assumptions!$F$11)*Assumptions!$F$96)*(1+Assumptions!$F$189)^(I$5-2026)</f>
        <v/>
      </c>
      <c r="J37" s="21">
        <f>'Sources &amp; Uses'!$E$54*((J$5=Assumptions!$F$11-1)*Assumptions!$F$95+(J$5=Assumptions!$F$11)*Assumptions!$F$96)*(1+Assumptions!$F$189)^(J$5-2026)</f>
        <v/>
      </c>
      <c r="K37" s="21">
        <f>'Sources &amp; Uses'!$E$54*((K$5=Assumptions!$F$11-1)*Assumptions!$F$95+(K$5=Assumptions!$F$11)*Assumptions!$F$96)*(1+Assumptions!$F$189)^(K$5-2026)</f>
        <v/>
      </c>
      <c r="L37" s="21">
        <f>'Sources &amp; Uses'!$E$54*((L$5=Assumptions!$F$11-1)*Assumptions!$F$95+(L$5=Assumptions!$F$11)*Assumptions!$F$96)*(1+Assumptions!$F$189)^(L$5-2026)</f>
        <v/>
      </c>
      <c r="M37" s="21">
        <f>'Sources &amp; Uses'!$E$54*((M$5=Assumptions!$F$11-1)*Assumptions!$F$95+(M$5=Assumptions!$F$11)*Assumptions!$F$96)*(1+Assumptions!$F$189)^(M$5-2026)</f>
        <v/>
      </c>
      <c r="N37" s="47">
        <f>SUM(D37:M37)</f>
        <v/>
      </c>
      <c r="O37" s="47">
        <f>'Sources &amp; Uses'!$E$54</f>
        <v/>
      </c>
      <c r="P37" s="47">
        <f>N37-O37</f>
        <v/>
      </c>
    </row>
    <row r="38">
      <c r="A38" s="9" t="inlineStr">
        <is>
          <t>Landscaping and artwork, the rest (incl. the commissioned works)</t>
        </is>
      </c>
      <c r="B38" s="24" t="inlineStr">
        <is>
          <t>Phase 3</t>
        </is>
      </c>
      <c r="C38" s="24" t="inlineStr">
        <is>
          <t>Opening -2 to 0</t>
        </is>
      </c>
      <c r="D38" s="21">
        <f>'Sources &amp; Uses'!$E$55*((D$5=Assumptions!$F$11-2)*Assumptions!$F$90+(D$5=Assumptions!$F$11-1)*Assumptions!$F$91+(D$5=Assumptions!$F$11)*Assumptions!$F$92)*(1+Assumptions!$F$189)^(D$5-2026)</f>
        <v/>
      </c>
      <c r="E38" s="21">
        <f>'Sources &amp; Uses'!$E$55*((E$5=Assumptions!$F$11-2)*Assumptions!$F$90+(E$5=Assumptions!$F$11-1)*Assumptions!$F$91+(E$5=Assumptions!$F$11)*Assumptions!$F$92)*(1+Assumptions!$F$189)^(E$5-2026)</f>
        <v/>
      </c>
      <c r="F38" s="21">
        <f>'Sources &amp; Uses'!$E$55*((F$5=Assumptions!$F$11-2)*Assumptions!$F$90+(F$5=Assumptions!$F$11-1)*Assumptions!$F$91+(F$5=Assumptions!$F$11)*Assumptions!$F$92)*(1+Assumptions!$F$189)^(F$5-2026)</f>
        <v/>
      </c>
      <c r="G38" s="21">
        <f>'Sources &amp; Uses'!$E$55*((G$5=Assumptions!$F$11-2)*Assumptions!$F$90+(G$5=Assumptions!$F$11-1)*Assumptions!$F$91+(G$5=Assumptions!$F$11)*Assumptions!$F$92)*(1+Assumptions!$F$189)^(G$5-2026)</f>
        <v/>
      </c>
      <c r="H38" s="21">
        <f>'Sources &amp; Uses'!$E$55*((H$5=Assumptions!$F$11-2)*Assumptions!$F$90+(H$5=Assumptions!$F$11-1)*Assumptions!$F$91+(H$5=Assumptions!$F$11)*Assumptions!$F$92)*(1+Assumptions!$F$189)^(H$5-2026)</f>
        <v/>
      </c>
      <c r="I38" s="21">
        <f>'Sources &amp; Uses'!$E$55*((I$5=Assumptions!$F$11-2)*Assumptions!$F$90+(I$5=Assumptions!$F$11-1)*Assumptions!$F$91+(I$5=Assumptions!$F$11)*Assumptions!$F$92)*(1+Assumptions!$F$189)^(I$5-2026)</f>
        <v/>
      </c>
      <c r="J38" s="21">
        <f>'Sources &amp; Uses'!$E$55*((J$5=Assumptions!$F$11-2)*Assumptions!$F$90+(J$5=Assumptions!$F$11-1)*Assumptions!$F$91+(J$5=Assumptions!$F$11)*Assumptions!$F$92)*(1+Assumptions!$F$189)^(J$5-2026)</f>
        <v/>
      </c>
      <c r="K38" s="21">
        <f>'Sources &amp; Uses'!$E$55*((K$5=Assumptions!$F$11-2)*Assumptions!$F$90+(K$5=Assumptions!$F$11-1)*Assumptions!$F$91+(K$5=Assumptions!$F$11)*Assumptions!$F$92)*(1+Assumptions!$F$189)^(K$5-2026)</f>
        <v/>
      </c>
      <c r="L38" s="21">
        <f>'Sources &amp; Uses'!$E$55*((L$5=Assumptions!$F$11-2)*Assumptions!$F$90+(L$5=Assumptions!$F$11-1)*Assumptions!$F$91+(L$5=Assumptions!$F$11)*Assumptions!$F$92)*(1+Assumptions!$F$189)^(L$5-2026)</f>
        <v/>
      </c>
      <c r="M38" s="21">
        <f>'Sources &amp; Uses'!$E$55*((M$5=Assumptions!$F$11-2)*Assumptions!$F$90+(M$5=Assumptions!$F$11-1)*Assumptions!$F$91+(M$5=Assumptions!$F$11)*Assumptions!$F$92)*(1+Assumptions!$F$189)^(M$5-2026)</f>
        <v/>
      </c>
      <c r="N38" s="47">
        <f>SUM(D38:M38)</f>
        <v/>
      </c>
      <c r="O38" s="47">
        <f>'Sources &amp; Uses'!$E$55</f>
        <v/>
      </c>
      <c r="P38" s="47">
        <f>N38-O38</f>
        <v/>
      </c>
    </row>
    <row r="39">
      <c r="A39" s="9" t="inlineStr">
        <is>
          <t>FF&amp;E, Phase 3 share</t>
        </is>
      </c>
      <c r="B39" s="24" t="inlineStr">
        <is>
          <t>Phase 3</t>
        </is>
      </c>
      <c r="C39" s="24" t="inlineStr">
        <is>
          <t>Opening year</t>
        </is>
      </c>
      <c r="D39" s="21">
        <f>'Sources &amp; Uses'!$E$56*(D$5=Assumptions!$F$11)*(1+Assumptions!$F$189)^(D$5-2026)</f>
        <v/>
      </c>
      <c r="E39" s="21">
        <f>'Sources &amp; Uses'!$E$56*(E$5=Assumptions!$F$11)*(1+Assumptions!$F$189)^(E$5-2026)</f>
        <v/>
      </c>
      <c r="F39" s="21">
        <f>'Sources &amp; Uses'!$E$56*(F$5=Assumptions!$F$11)*(1+Assumptions!$F$189)^(F$5-2026)</f>
        <v/>
      </c>
      <c r="G39" s="21">
        <f>'Sources &amp; Uses'!$E$56*(G$5=Assumptions!$F$11)*(1+Assumptions!$F$189)^(G$5-2026)</f>
        <v/>
      </c>
      <c r="H39" s="21">
        <f>'Sources &amp; Uses'!$E$56*(H$5=Assumptions!$F$11)*(1+Assumptions!$F$189)^(H$5-2026)</f>
        <v/>
      </c>
      <c r="I39" s="21">
        <f>'Sources &amp; Uses'!$E$56*(I$5=Assumptions!$F$11)*(1+Assumptions!$F$189)^(I$5-2026)</f>
        <v/>
      </c>
      <c r="J39" s="21">
        <f>'Sources &amp; Uses'!$E$56*(J$5=Assumptions!$F$11)*(1+Assumptions!$F$189)^(J$5-2026)</f>
        <v/>
      </c>
      <c r="K39" s="21">
        <f>'Sources &amp; Uses'!$E$56*(K$5=Assumptions!$F$11)*(1+Assumptions!$F$189)^(K$5-2026)</f>
        <v/>
      </c>
      <c r="L39" s="21">
        <f>'Sources &amp; Uses'!$E$56*(L$5=Assumptions!$F$11)*(1+Assumptions!$F$189)^(L$5-2026)</f>
        <v/>
      </c>
      <c r="M39" s="21">
        <f>'Sources &amp; Uses'!$E$56*(M$5=Assumptions!$F$11)*(1+Assumptions!$F$189)^(M$5-2026)</f>
        <v/>
      </c>
      <c r="N39" s="47">
        <f>SUM(D39:M39)</f>
        <v/>
      </c>
      <c r="O39" s="47">
        <f>'Sources &amp; Uses'!$E$56</f>
        <v/>
      </c>
      <c r="P39" s="47">
        <f>N39-O39</f>
        <v/>
      </c>
    </row>
    <row r="40">
      <c r="A40" s="9" t="inlineStr">
        <is>
          <t>Soft costs, Phase 3</t>
        </is>
      </c>
      <c r="B40" s="24" t="inlineStr">
        <is>
          <t>Phase 3</t>
        </is>
      </c>
      <c r="C40" s="24" t="inlineStr">
        <is>
          <t>Opening -2 to 0</t>
        </is>
      </c>
      <c r="D40" s="21">
        <f>'Sources &amp; Uses'!$E$57*((D$5=Assumptions!$F$11-2)*Assumptions!$F$84+(D$5=Assumptions!$F$11-1)*Assumptions!$F$85+(D$5=Assumptions!$F$11)*Assumptions!$F$86)*(1+Assumptions!$F$189)^(D$5-2026)</f>
        <v/>
      </c>
      <c r="E40" s="21">
        <f>'Sources &amp; Uses'!$E$57*((E$5=Assumptions!$F$11-2)*Assumptions!$F$84+(E$5=Assumptions!$F$11-1)*Assumptions!$F$85+(E$5=Assumptions!$F$11)*Assumptions!$F$86)*(1+Assumptions!$F$189)^(E$5-2026)</f>
        <v/>
      </c>
      <c r="F40" s="21">
        <f>'Sources &amp; Uses'!$E$57*((F$5=Assumptions!$F$11-2)*Assumptions!$F$84+(F$5=Assumptions!$F$11-1)*Assumptions!$F$85+(F$5=Assumptions!$F$11)*Assumptions!$F$86)*(1+Assumptions!$F$189)^(F$5-2026)</f>
        <v/>
      </c>
      <c r="G40" s="21">
        <f>'Sources &amp; Uses'!$E$57*((G$5=Assumptions!$F$11-2)*Assumptions!$F$84+(G$5=Assumptions!$F$11-1)*Assumptions!$F$85+(G$5=Assumptions!$F$11)*Assumptions!$F$86)*(1+Assumptions!$F$189)^(G$5-2026)</f>
        <v/>
      </c>
      <c r="H40" s="21">
        <f>'Sources &amp; Uses'!$E$57*((H$5=Assumptions!$F$11-2)*Assumptions!$F$84+(H$5=Assumptions!$F$11-1)*Assumptions!$F$85+(H$5=Assumptions!$F$11)*Assumptions!$F$86)*(1+Assumptions!$F$189)^(H$5-2026)</f>
        <v/>
      </c>
      <c r="I40" s="21">
        <f>'Sources &amp; Uses'!$E$57*((I$5=Assumptions!$F$11-2)*Assumptions!$F$84+(I$5=Assumptions!$F$11-1)*Assumptions!$F$85+(I$5=Assumptions!$F$11)*Assumptions!$F$86)*(1+Assumptions!$F$189)^(I$5-2026)</f>
        <v/>
      </c>
      <c r="J40" s="21">
        <f>'Sources &amp; Uses'!$E$57*((J$5=Assumptions!$F$11-2)*Assumptions!$F$84+(J$5=Assumptions!$F$11-1)*Assumptions!$F$85+(J$5=Assumptions!$F$11)*Assumptions!$F$86)*(1+Assumptions!$F$189)^(J$5-2026)</f>
        <v/>
      </c>
      <c r="K40" s="21">
        <f>'Sources &amp; Uses'!$E$57*((K$5=Assumptions!$F$11-2)*Assumptions!$F$84+(K$5=Assumptions!$F$11-1)*Assumptions!$F$85+(K$5=Assumptions!$F$11)*Assumptions!$F$86)*(1+Assumptions!$F$189)^(K$5-2026)</f>
        <v/>
      </c>
      <c r="L40" s="21">
        <f>'Sources &amp; Uses'!$E$57*((L$5=Assumptions!$F$11-2)*Assumptions!$F$84+(L$5=Assumptions!$F$11-1)*Assumptions!$F$85+(L$5=Assumptions!$F$11)*Assumptions!$F$86)*(1+Assumptions!$F$189)^(L$5-2026)</f>
        <v/>
      </c>
      <c r="M40" s="21">
        <f>'Sources &amp; Uses'!$E$57*((M$5=Assumptions!$F$11-2)*Assumptions!$F$84+(M$5=Assumptions!$F$11-1)*Assumptions!$F$85+(M$5=Assumptions!$F$11)*Assumptions!$F$86)*(1+Assumptions!$F$189)^(M$5-2026)</f>
        <v/>
      </c>
      <c r="N40" s="47">
        <f>SUM(D40:M40)</f>
        <v/>
      </c>
      <c r="O40" s="47">
        <f>'Sources &amp; Uses'!$E$57</f>
        <v/>
      </c>
      <c r="P40" s="47">
        <f>N40-O40</f>
        <v/>
      </c>
    </row>
    <row r="41">
      <c r="A41" s="9" t="inlineStr">
        <is>
          <t>Contingency, Phase 3</t>
        </is>
      </c>
      <c r="B41" s="24" t="inlineStr">
        <is>
          <t>Phase 3</t>
        </is>
      </c>
      <c r="C41" s="24" t="inlineStr">
        <is>
          <t>Opening -2 to 0</t>
        </is>
      </c>
      <c r="D41" s="21">
        <f>'Sources &amp; Uses'!$E$58*((D$5=Assumptions!$F$11-2)*Assumptions!$F$90+(D$5=Assumptions!$F$11-1)*Assumptions!$F$91+(D$5=Assumptions!$F$11)*Assumptions!$F$92)*(1+Assumptions!$F$189)^(D$5-2026)</f>
        <v/>
      </c>
      <c r="E41" s="21">
        <f>'Sources &amp; Uses'!$E$58*((E$5=Assumptions!$F$11-2)*Assumptions!$F$90+(E$5=Assumptions!$F$11-1)*Assumptions!$F$91+(E$5=Assumptions!$F$11)*Assumptions!$F$92)*(1+Assumptions!$F$189)^(E$5-2026)</f>
        <v/>
      </c>
      <c r="F41" s="21">
        <f>'Sources &amp; Uses'!$E$58*((F$5=Assumptions!$F$11-2)*Assumptions!$F$90+(F$5=Assumptions!$F$11-1)*Assumptions!$F$91+(F$5=Assumptions!$F$11)*Assumptions!$F$92)*(1+Assumptions!$F$189)^(F$5-2026)</f>
        <v/>
      </c>
      <c r="G41" s="21">
        <f>'Sources &amp; Uses'!$E$58*((G$5=Assumptions!$F$11-2)*Assumptions!$F$90+(G$5=Assumptions!$F$11-1)*Assumptions!$F$91+(G$5=Assumptions!$F$11)*Assumptions!$F$92)*(1+Assumptions!$F$189)^(G$5-2026)</f>
        <v/>
      </c>
      <c r="H41" s="21">
        <f>'Sources &amp; Uses'!$E$58*((H$5=Assumptions!$F$11-2)*Assumptions!$F$90+(H$5=Assumptions!$F$11-1)*Assumptions!$F$91+(H$5=Assumptions!$F$11)*Assumptions!$F$92)*(1+Assumptions!$F$189)^(H$5-2026)</f>
        <v/>
      </c>
      <c r="I41" s="21">
        <f>'Sources &amp; Uses'!$E$58*((I$5=Assumptions!$F$11-2)*Assumptions!$F$90+(I$5=Assumptions!$F$11-1)*Assumptions!$F$91+(I$5=Assumptions!$F$11)*Assumptions!$F$92)*(1+Assumptions!$F$189)^(I$5-2026)</f>
        <v/>
      </c>
      <c r="J41" s="21">
        <f>'Sources &amp; Uses'!$E$58*((J$5=Assumptions!$F$11-2)*Assumptions!$F$90+(J$5=Assumptions!$F$11-1)*Assumptions!$F$91+(J$5=Assumptions!$F$11)*Assumptions!$F$92)*(1+Assumptions!$F$189)^(J$5-2026)</f>
        <v/>
      </c>
      <c r="K41" s="21">
        <f>'Sources &amp; Uses'!$E$58*((K$5=Assumptions!$F$11-2)*Assumptions!$F$90+(K$5=Assumptions!$F$11-1)*Assumptions!$F$91+(K$5=Assumptions!$F$11)*Assumptions!$F$92)*(1+Assumptions!$F$189)^(K$5-2026)</f>
        <v/>
      </c>
      <c r="L41" s="21">
        <f>'Sources &amp; Uses'!$E$58*((L$5=Assumptions!$F$11-2)*Assumptions!$F$90+(L$5=Assumptions!$F$11-1)*Assumptions!$F$91+(L$5=Assumptions!$F$11)*Assumptions!$F$92)*(1+Assumptions!$F$189)^(L$5-2026)</f>
        <v/>
      </c>
      <c r="M41" s="21">
        <f>'Sources &amp; Uses'!$E$58*((M$5=Assumptions!$F$11-2)*Assumptions!$F$90+(M$5=Assumptions!$F$11-1)*Assumptions!$F$91+(M$5=Assumptions!$F$11)*Assumptions!$F$92)*(1+Assumptions!$F$189)^(M$5-2026)</f>
        <v/>
      </c>
      <c r="N41" s="47">
        <f>SUM(D41:M41)</f>
        <v/>
      </c>
      <c r="O41" s="47">
        <f>'Sources &amp; Uses'!$E$58</f>
        <v/>
      </c>
      <c r="P41" s="47">
        <f>N41-O41</f>
        <v/>
      </c>
    </row>
    <row r="42">
      <c r="A42" s="9" t="inlineStr">
        <is>
          <t>Development-period overhead until Phase 1 opens</t>
        </is>
      </c>
      <c r="B42" s="24" t="inlineStr">
        <is>
          <t>Pre-opening</t>
        </is>
      </c>
      <c r="C42" s="24" t="inlineStr">
        <is>
          <t>Each year before Phase 1</t>
        </is>
      </c>
      <c r="D42" s="21">
        <f>Assumptions!$F$72*(D$5&gt;=Assumptions!$F$8)*(D$5&lt;Assumptions!$F$9)*(1+Assumptions!$F$189)^(D$5-2026)</f>
        <v/>
      </c>
      <c r="E42" s="21">
        <f>Assumptions!$F$72*(E$5&gt;=Assumptions!$F$8)*(E$5&lt;Assumptions!$F$9)*(1+Assumptions!$F$189)^(E$5-2026)</f>
        <v/>
      </c>
      <c r="F42" s="21">
        <f>Assumptions!$F$72*(F$5&gt;=Assumptions!$F$8)*(F$5&lt;Assumptions!$F$9)*(1+Assumptions!$F$189)^(F$5-2026)</f>
        <v/>
      </c>
      <c r="G42" s="21">
        <f>Assumptions!$F$72*(G$5&gt;=Assumptions!$F$8)*(G$5&lt;Assumptions!$F$9)*(1+Assumptions!$F$189)^(G$5-2026)</f>
        <v/>
      </c>
      <c r="H42" s="21">
        <f>Assumptions!$F$72*(H$5&gt;=Assumptions!$F$8)*(H$5&lt;Assumptions!$F$9)*(1+Assumptions!$F$189)^(H$5-2026)</f>
        <v/>
      </c>
      <c r="I42" s="21">
        <f>Assumptions!$F$72*(I$5&gt;=Assumptions!$F$8)*(I$5&lt;Assumptions!$F$9)*(1+Assumptions!$F$189)^(I$5-2026)</f>
        <v/>
      </c>
      <c r="J42" s="21">
        <f>Assumptions!$F$72*(J$5&gt;=Assumptions!$F$8)*(J$5&lt;Assumptions!$F$9)*(1+Assumptions!$F$189)^(J$5-2026)</f>
        <v/>
      </c>
      <c r="K42" s="21">
        <f>Assumptions!$F$72*(K$5&gt;=Assumptions!$F$8)*(K$5&lt;Assumptions!$F$9)*(1+Assumptions!$F$189)^(K$5-2026)</f>
        <v/>
      </c>
      <c r="L42" s="21">
        <f>Assumptions!$F$72*(L$5&gt;=Assumptions!$F$8)*(L$5&lt;Assumptions!$F$9)*(1+Assumptions!$F$189)^(L$5-2026)</f>
        <v/>
      </c>
      <c r="M42" s="21">
        <f>Assumptions!$F$72*(M$5&gt;=Assumptions!$F$8)*(M$5&lt;Assumptions!$F$9)*(1+Assumptions!$F$189)^(M$5-2026)</f>
        <v/>
      </c>
      <c r="N42" s="47">
        <f>SUM(D42:M42)</f>
        <v/>
      </c>
      <c r="O42" s="47">
        <f>'Sources &amp; Uses'!$E$62</f>
        <v/>
      </c>
      <c r="P42" s="47">
        <f>N42-O42</f>
        <v/>
      </c>
    </row>
    <row r="43">
      <c r="A43" s="9" t="inlineStr">
        <is>
          <t>Pre-opening, Phase 1 (hiring, training, launch, supplies)</t>
        </is>
      </c>
      <c r="B43" s="24" t="inlineStr">
        <is>
          <t>Pre-opening</t>
        </is>
      </c>
      <c r="C43" s="24" t="inlineStr">
        <is>
          <t>Opening year</t>
        </is>
      </c>
      <c r="D43" s="21">
        <f>'Sources &amp; Uses'!$E$63*(D$5=Assumptions!$F$9)*(1+Assumptions!$F$189)^(D$5-2026)</f>
        <v/>
      </c>
      <c r="E43" s="21">
        <f>'Sources &amp; Uses'!$E$63*(E$5=Assumptions!$F$9)*(1+Assumptions!$F$189)^(E$5-2026)</f>
        <v/>
      </c>
      <c r="F43" s="21">
        <f>'Sources &amp; Uses'!$E$63*(F$5=Assumptions!$F$9)*(1+Assumptions!$F$189)^(F$5-2026)</f>
        <v/>
      </c>
      <c r="G43" s="21">
        <f>'Sources &amp; Uses'!$E$63*(G$5=Assumptions!$F$9)*(1+Assumptions!$F$189)^(G$5-2026)</f>
        <v/>
      </c>
      <c r="H43" s="21">
        <f>'Sources &amp; Uses'!$E$63*(H$5=Assumptions!$F$9)*(1+Assumptions!$F$189)^(H$5-2026)</f>
        <v/>
      </c>
      <c r="I43" s="21">
        <f>'Sources &amp; Uses'!$E$63*(I$5=Assumptions!$F$9)*(1+Assumptions!$F$189)^(I$5-2026)</f>
        <v/>
      </c>
      <c r="J43" s="21">
        <f>'Sources &amp; Uses'!$E$63*(J$5=Assumptions!$F$9)*(1+Assumptions!$F$189)^(J$5-2026)</f>
        <v/>
      </c>
      <c r="K43" s="21">
        <f>'Sources &amp; Uses'!$E$63*(K$5=Assumptions!$F$9)*(1+Assumptions!$F$189)^(K$5-2026)</f>
        <v/>
      </c>
      <c r="L43" s="21">
        <f>'Sources &amp; Uses'!$E$63*(L$5=Assumptions!$F$9)*(1+Assumptions!$F$189)^(L$5-2026)</f>
        <v/>
      </c>
      <c r="M43" s="21">
        <f>'Sources &amp; Uses'!$E$63*(M$5=Assumptions!$F$9)*(1+Assumptions!$F$189)^(M$5-2026)</f>
        <v/>
      </c>
      <c r="N43" s="47">
        <f>SUM(D43:M43)</f>
        <v/>
      </c>
      <c r="O43" s="47">
        <f>'Sources &amp; Uses'!$E$63</f>
        <v/>
      </c>
      <c r="P43" s="47">
        <f>N43-O43</f>
        <v/>
      </c>
    </row>
    <row r="44">
      <c r="A44" s="9" t="inlineStr">
        <is>
          <t>Pre-opening, Phase 2</t>
        </is>
      </c>
      <c r="B44" s="24" t="inlineStr">
        <is>
          <t>Pre-opening</t>
        </is>
      </c>
      <c r="C44" s="24" t="inlineStr">
        <is>
          <t>Opening year</t>
        </is>
      </c>
      <c r="D44" s="21">
        <f>'Sources &amp; Uses'!$E$64*(D$5=Assumptions!$F$10)*(1+Assumptions!$F$189)^(D$5-2026)</f>
        <v/>
      </c>
      <c r="E44" s="21">
        <f>'Sources &amp; Uses'!$E$64*(E$5=Assumptions!$F$10)*(1+Assumptions!$F$189)^(E$5-2026)</f>
        <v/>
      </c>
      <c r="F44" s="21">
        <f>'Sources &amp; Uses'!$E$64*(F$5=Assumptions!$F$10)*(1+Assumptions!$F$189)^(F$5-2026)</f>
        <v/>
      </c>
      <c r="G44" s="21">
        <f>'Sources &amp; Uses'!$E$64*(G$5=Assumptions!$F$10)*(1+Assumptions!$F$189)^(G$5-2026)</f>
        <v/>
      </c>
      <c r="H44" s="21">
        <f>'Sources &amp; Uses'!$E$64*(H$5=Assumptions!$F$10)*(1+Assumptions!$F$189)^(H$5-2026)</f>
        <v/>
      </c>
      <c r="I44" s="21">
        <f>'Sources &amp; Uses'!$E$64*(I$5=Assumptions!$F$10)*(1+Assumptions!$F$189)^(I$5-2026)</f>
        <v/>
      </c>
      <c r="J44" s="21">
        <f>'Sources &amp; Uses'!$E$64*(J$5=Assumptions!$F$10)*(1+Assumptions!$F$189)^(J$5-2026)</f>
        <v/>
      </c>
      <c r="K44" s="21">
        <f>'Sources &amp; Uses'!$E$64*(K$5=Assumptions!$F$10)*(1+Assumptions!$F$189)^(K$5-2026)</f>
        <v/>
      </c>
      <c r="L44" s="21">
        <f>'Sources &amp; Uses'!$E$64*(L$5=Assumptions!$F$10)*(1+Assumptions!$F$189)^(L$5-2026)</f>
        <v/>
      </c>
      <c r="M44" s="21">
        <f>'Sources &amp; Uses'!$E$64*(M$5=Assumptions!$F$10)*(1+Assumptions!$F$189)^(M$5-2026)</f>
        <v/>
      </c>
      <c r="N44" s="47">
        <f>SUM(D44:M44)</f>
        <v/>
      </c>
      <c r="O44" s="47">
        <f>'Sources &amp; Uses'!$E$64</f>
        <v/>
      </c>
      <c r="P44" s="47">
        <f>N44-O44</f>
        <v/>
      </c>
    </row>
    <row r="45">
      <c r="A45" s="9" t="inlineStr">
        <is>
          <t>Pre-opening, Phase 3</t>
        </is>
      </c>
      <c r="B45" s="24" t="inlineStr">
        <is>
          <t>Pre-opening</t>
        </is>
      </c>
      <c r="C45" s="24" t="inlineStr">
        <is>
          <t>Opening year</t>
        </is>
      </c>
      <c r="D45" s="21">
        <f>'Sources &amp; Uses'!$E$65*(D$5=Assumptions!$F$11)*(1+Assumptions!$F$189)^(D$5-2026)</f>
        <v/>
      </c>
      <c r="E45" s="21">
        <f>'Sources &amp; Uses'!$E$65*(E$5=Assumptions!$F$11)*(1+Assumptions!$F$189)^(E$5-2026)</f>
        <v/>
      </c>
      <c r="F45" s="21">
        <f>'Sources &amp; Uses'!$E$65*(F$5=Assumptions!$F$11)*(1+Assumptions!$F$189)^(F$5-2026)</f>
        <v/>
      </c>
      <c r="G45" s="21">
        <f>'Sources &amp; Uses'!$E$65*(G$5=Assumptions!$F$11)*(1+Assumptions!$F$189)^(G$5-2026)</f>
        <v/>
      </c>
      <c r="H45" s="21">
        <f>'Sources &amp; Uses'!$E$65*(H$5=Assumptions!$F$11)*(1+Assumptions!$F$189)^(H$5-2026)</f>
        <v/>
      </c>
      <c r="I45" s="21">
        <f>'Sources &amp; Uses'!$E$65*(I$5=Assumptions!$F$11)*(1+Assumptions!$F$189)^(I$5-2026)</f>
        <v/>
      </c>
      <c r="J45" s="21">
        <f>'Sources &amp; Uses'!$E$65*(J$5=Assumptions!$F$11)*(1+Assumptions!$F$189)^(J$5-2026)</f>
        <v/>
      </c>
      <c r="K45" s="21">
        <f>'Sources &amp; Uses'!$E$65*(K$5=Assumptions!$F$11)*(1+Assumptions!$F$189)^(K$5-2026)</f>
        <v/>
      </c>
      <c r="L45" s="21">
        <f>'Sources &amp; Uses'!$E$65*(L$5=Assumptions!$F$11)*(1+Assumptions!$F$189)^(L$5-2026)</f>
        <v/>
      </c>
      <c r="M45" s="21">
        <f>'Sources &amp; Uses'!$E$65*(M$5=Assumptions!$F$11)*(1+Assumptions!$F$189)^(M$5-2026)</f>
        <v/>
      </c>
      <c r="N45" s="47">
        <f>SUM(D45:M45)</f>
        <v/>
      </c>
      <c r="O45" s="47">
        <f>'Sources &amp; Uses'!$E$65</f>
        <v/>
      </c>
      <c r="P45" s="47">
        <f>N45-O45</f>
        <v/>
      </c>
    </row>
    <row r="46">
      <c r="A46" s="48" t="inlineStr">
        <is>
          <t>TOTAL CAPITAL AND PRE-OPENING USES</t>
        </is>
      </c>
      <c r="B46" s="49" t="n"/>
      <c r="C46" s="49" t="n"/>
      <c r="D46" s="50">
        <f>SUM(D6:D45)</f>
        <v/>
      </c>
      <c r="E46" s="50">
        <f>SUM(E6:E45)</f>
        <v/>
      </c>
      <c r="F46" s="50">
        <f>SUM(F6:F45)</f>
        <v/>
      </c>
      <c r="G46" s="50">
        <f>SUM(G6:G45)</f>
        <v/>
      </c>
      <c r="H46" s="50">
        <f>SUM(H6:H45)</f>
        <v/>
      </c>
      <c r="I46" s="50">
        <f>SUM(I6:I45)</f>
        <v/>
      </c>
      <c r="J46" s="50">
        <f>SUM(J6:J45)</f>
        <v/>
      </c>
      <c r="K46" s="50">
        <f>SUM(K6:K45)</f>
        <v/>
      </c>
      <c r="L46" s="50">
        <f>SUM(L6:L45)</f>
        <v/>
      </c>
      <c r="M46" s="50">
        <f>SUM(M6:M45)</f>
        <v/>
      </c>
      <c r="N46" s="50">
        <f>SUM(N6:N45)</f>
        <v/>
      </c>
      <c r="O46" s="50">
        <f>SUM(O6:O45)</f>
        <v/>
      </c>
      <c r="P46" s="50">
        <f>SUM(P6:P45)</f>
        <v/>
      </c>
    </row>
    <row r="49">
      <c r="A49" s="46" t="inlineStr">
        <is>
          <t>LOW  -  Lean Bastion: 12 cabins on 5 acres and USD 1M of land, Low California prices, cautious demand</t>
        </is>
      </c>
    </row>
    <row r="50">
      <c r="A50" s="3" t="inlineStr">
        <is>
          <t>Item</t>
        </is>
      </c>
      <c r="B50" s="4" t="inlineStr">
        <is>
          <t>Phase</t>
        </is>
      </c>
      <c r="C50" s="4" t="inlineStr">
        <is>
          <t>Timing</t>
        </is>
      </c>
      <c r="D50" s="4" t="n">
        <v>2027</v>
      </c>
      <c r="E50" s="4" t="n">
        <v>2028</v>
      </c>
      <c r="F50" s="4" t="n">
        <v>2029</v>
      </c>
      <c r="G50" s="4" t="n">
        <v>2030</v>
      </c>
      <c r="H50" s="4" t="n">
        <v>2031</v>
      </c>
      <c r="I50" s="4" t="n">
        <v>2032</v>
      </c>
      <c r="J50" s="4" t="n">
        <v>2033</v>
      </c>
      <c r="K50" s="4" t="n">
        <v>2034</v>
      </c>
      <c r="L50" s="4" t="n">
        <v>2035</v>
      </c>
      <c r="M50" s="4" t="n">
        <v>2036</v>
      </c>
      <c r="N50" s="4" t="inlineStr">
        <is>
          <t>Total</t>
        </is>
      </c>
      <c r="O50" s="4" t="inlineStr">
        <is>
          <t>S&amp;U amount</t>
        </is>
      </c>
      <c r="P50" s="4" t="inlineStr">
        <is>
          <t>Check</t>
        </is>
      </c>
    </row>
    <row r="51">
      <c r="A51" s="9" t="inlineStr">
        <is>
          <t>Pre-construction approvals: due diligence, studies, camp CUP, CEQA, attorney</t>
        </is>
      </c>
      <c r="B51" s="24" t="inlineStr">
        <is>
          <t>Stage 0</t>
        </is>
      </c>
      <c r="C51" s="24" t="inlineStr">
        <is>
          <t>Land year to +1</t>
        </is>
      </c>
      <c r="D51" s="21">
        <f>'Sources &amp; Uses'!$D$17*((D$50=Assumptions!$E$8)*Assumptions!$E$75+(D$50=Assumptions!$E$8+1)*Assumptions!$E$76+(D$50=Assumptions!$E$8+2)*Assumptions!$E$77+(D$50=Assumptions!$E$8+3)*Assumptions!$E$78)*(1+Assumptions!$E$189)^(D$50-2026)</f>
        <v/>
      </c>
      <c r="E51" s="21">
        <f>'Sources &amp; Uses'!$D$17*((E$50=Assumptions!$E$8)*Assumptions!$E$75+(E$50=Assumptions!$E$8+1)*Assumptions!$E$76+(E$50=Assumptions!$E$8+2)*Assumptions!$E$77+(E$50=Assumptions!$E$8+3)*Assumptions!$E$78)*(1+Assumptions!$E$189)^(E$50-2026)</f>
        <v/>
      </c>
      <c r="F51" s="21">
        <f>'Sources &amp; Uses'!$D$17*((F$50=Assumptions!$E$8)*Assumptions!$E$75+(F$50=Assumptions!$E$8+1)*Assumptions!$E$76+(F$50=Assumptions!$E$8+2)*Assumptions!$E$77+(F$50=Assumptions!$E$8+3)*Assumptions!$E$78)*(1+Assumptions!$E$189)^(F$50-2026)</f>
        <v/>
      </c>
      <c r="G51" s="21">
        <f>'Sources &amp; Uses'!$D$17*((G$50=Assumptions!$E$8)*Assumptions!$E$75+(G$50=Assumptions!$E$8+1)*Assumptions!$E$76+(G$50=Assumptions!$E$8+2)*Assumptions!$E$77+(G$50=Assumptions!$E$8+3)*Assumptions!$E$78)*(1+Assumptions!$E$189)^(G$50-2026)</f>
        <v/>
      </c>
      <c r="H51" s="21">
        <f>'Sources &amp; Uses'!$D$17*((H$50=Assumptions!$E$8)*Assumptions!$E$75+(H$50=Assumptions!$E$8+1)*Assumptions!$E$76+(H$50=Assumptions!$E$8+2)*Assumptions!$E$77+(H$50=Assumptions!$E$8+3)*Assumptions!$E$78)*(1+Assumptions!$E$189)^(H$50-2026)</f>
        <v/>
      </c>
      <c r="I51" s="21">
        <f>'Sources &amp; Uses'!$D$17*((I$50=Assumptions!$E$8)*Assumptions!$E$75+(I$50=Assumptions!$E$8+1)*Assumptions!$E$76+(I$50=Assumptions!$E$8+2)*Assumptions!$E$77+(I$50=Assumptions!$E$8+3)*Assumptions!$E$78)*(1+Assumptions!$E$189)^(I$50-2026)</f>
        <v/>
      </c>
      <c r="J51" s="21">
        <f>'Sources &amp; Uses'!$D$17*((J$50=Assumptions!$E$8)*Assumptions!$E$75+(J$50=Assumptions!$E$8+1)*Assumptions!$E$76+(J$50=Assumptions!$E$8+2)*Assumptions!$E$77+(J$50=Assumptions!$E$8+3)*Assumptions!$E$78)*(1+Assumptions!$E$189)^(J$50-2026)</f>
        <v/>
      </c>
      <c r="K51" s="21">
        <f>'Sources &amp; Uses'!$D$17*((K$50=Assumptions!$E$8)*Assumptions!$E$75+(K$50=Assumptions!$E$8+1)*Assumptions!$E$76+(K$50=Assumptions!$E$8+2)*Assumptions!$E$77+(K$50=Assumptions!$E$8+3)*Assumptions!$E$78)*(1+Assumptions!$E$189)^(K$50-2026)</f>
        <v/>
      </c>
      <c r="L51" s="21">
        <f>'Sources &amp; Uses'!$D$17*((L$50=Assumptions!$E$8)*Assumptions!$E$75+(L$50=Assumptions!$E$8+1)*Assumptions!$E$76+(L$50=Assumptions!$E$8+2)*Assumptions!$E$77+(L$50=Assumptions!$E$8+3)*Assumptions!$E$78)*(1+Assumptions!$E$189)^(L$50-2026)</f>
        <v/>
      </c>
      <c r="M51" s="21">
        <f>'Sources &amp; Uses'!$D$17*((M$50=Assumptions!$E$8)*Assumptions!$E$75+(M$50=Assumptions!$E$8+1)*Assumptions!$E$76+(M$50=Assumptions!$E$8+2)*Assumptions!$E$77+(M$50=Assumptions!$E$8+3)*Assumptions!$E$78)*(1+Assumptions!$E$189)^(M$50-2026)</f>
        <v/>
      </c>
      <c r="N51" s="47">
        <f>SUM(D51:M51)</f>
        <v/>
      </c>
      <c r="O51" s="47">
        <f>'Sources &amp; Uses'!$D$17</f>
        <v/>
      </c>
      <c r="P51" s="47">
        <f>N51-O51</f>
        <v/>
      </c>
    </row>
    <row r="52">
      <c r="A52" s="9" t="inlineStr">
        <is>
          <t>Stage 0 meadow prep, sound trail and pop-up kit</t>
        </is>
      </c>
      <c r="B52" s="24" t="inlineStr">
        <is>
          <t>Stage 0</t>
        </is>
      </c>
      <c r="C52" s="24" t="inlineStr">
        <is>
          <t>Land year + 1</t>
        </is>
      </c>
      <c r="D52" s="21">
        <f>'Sources &amp; Uses'!$D$18*(D$50=Assumptions!$E$8+1)*(1+Assumptions!$E$189)^(D$50-2026)</f>
        <v/>
      </c>
      <c r="E52" s="21">
        <f>'Sources &amp; Uses'!$D$18*(E$50=Assumptions!$E$8+1)*(1+Assumptions!$E$189)^(E$50-2026)</f>
        <v/>
      </c>
      <c r="F52" s="21">
        <f>'Sources &amp; Uses'!$D$18*(F$50=Assumptions!$E$8+1)*(1+Assumptions!$E$189)^(F$50-2026)</f>
        <v/>
      </c>
      <c r="G52" s="21">
        <f>'Sources &amp; Uses'!$D$18*(G$50=Assumptions!$E$8+1)*(1+Assumptions!$E$189)^(G$50-2026)</f>
        <v/>
      </c>
      <c r="H52" s="21">
        <f>'Sources &amp; Uses'!$D$18*(H$50=Assumptions!$E$8+1)*(1+Assumptions!$E$189)^(H$50-2026)</f>
        <v/>
      </c>
      <c r="I52" s="21">
        <f>'Sources &amp; Uses'!$D$18*(I$50=Assumptions!$E$8+1)*(1+Assumptions!$E$189)^(I$50-2026)</f>
        <v/>
      </c>
      <c r="J52" s="21">
        <f>'Sources &amp; Uses'!$D$18*(J$50=Assumptions!$E$8+1)*(1+Assumptions!$E$189)^(J$50-2026)</f>
        <v/>
      </c>
      <c r="K52" s="21">
        <f>'Sources &amp; Uses'!$D$18*(K$50=Assumptions!$E$8+1)*(1+Assumptions!$E$189)^(K$50-2026)</f>
        <v/>
      </c>
      <c r="L52" s="21">
        <f>'Sources &amp; Uses'!$D$18*(L$50=Assumptions!$E$8+1)*(1+Assumptions!$E$189)^(L$50-2026)</f>
        <v/>
      </c>
      <c r="M52" s="21">
        <f>'Sources &amp; Uses'!$D$18*(M$50=Assumptions!$E$8+1)*(1+Assumptions!$E$189)^(M$50-2026)</f>
        <v/>
      </c>
      <c r="N52" s="47">
        <f>SUM(D52:M52)</f>
        <v/>
      </c>
      <c r="O52" s="47">
        <f>'Sources &amp; Uses'!$D$18</f>
        <v/>
      </c>
      <c r="P52" s="47">
        <f>N52-O52</f>
        <v/>
      </c>
    </row>
    <row r="53">
      <c r="A53" s="9" t="inlineStr">
        <is>
          <t>Land (5 to 50 acres, Ojai Valley)</t>
        </is>
      </c>
      <c r="B53" s="24" t="inlineStr">
        <is>
          <t>Phase 1</t>
        </is>
      </c>
      <c r="C53" s="24" t="inlineStr">
        <is>
          <t>Land year</t>
        </is>
      </c>
      <c r="D53" s="21">
        <f>'Sources &amp; Uses'!$D$21*(D$50=Assumptions!$E$8)*(1+Assumptions!$E$189)^(D$50-2026)</f>
        <v/>
      </c>
      <c r="E53" s="21">
        <f>'Sources &amp; Uses'!$D$21*(E$50=Assumptions!$E$8)*(1+Assumptions!$E$189)^(E$50-2026)</f>
        <v/>
      </c>
      <c r="F53" s="21">
        <f>'Sources &amp; Uses'!$D$21*(F$50=Assumptions!$E$8)*(1+Assumptions!$E$189)^(F$50-2026)</f>
        <v/>
      </c>
      <c r="G53" s="21">
        <f>'Sources &amp; Uses'!$D$21*(G$50=Assumptions!$E$8)*(1+Assumptions!$E$189)^(G$50-2026)</f>
        <v/>
      </c>
      <c r="H53" s="21">
        <f>'Sources &amp; Uses'!$D$21*(H$50=Assumptions!$E$8)*(1+Assumptions!$E$189)^(H$50-2026)</f>
        <v/>
      </c>
      <c r="I53" s="21">
        <f>'Sources &amp; Uses'!$D$21*(I$50=Assumptions!$E$8)*(1+Assumptions!$E$189)^(I$50-2026)</f>
        <v/>
      </c>
      <c r="J53" s="21">
        <f>'Sources &amp; Uses'!$D$21*(J$50=Assumptions!$E$8)*(1+Assumptions!$E$189)^(J$50-2026)</f>
        <v/>
      </c>
      <c r="K53" s="21">
        <f>'Sources &amp; Uses'!$D$21*(K$50=Assumptions!$E$8)*(1+Assumptions!$E$189)^(K$50-2026)</f>
        <v/>
      </c>
      <c r="L53" s="21">
        <f>'Sources &amp; Uses'!$D$21*(L$50=Assumptions!$E$8)*(1+Assumptions!$E$189)^(L$50-2026)</f>
        <v/>
      </c>
      <c r="M53" s="21">
        <f>'Sources &amp; Uses'!$D$21*(M$50=Assumptions!$E$8)*(1+Assumptions!$E$189)^(M$50-2026)</f>
        <v/>
      </c>
      <c r="N53" s="47">
        <f>SUM(D53:M53)</f>
        <v/>
      </c>
      <c r="O53" s="47">
        <f>'Sources &amp; Uses'!$D$21</f>
        <v/>
      </c>
      <c r="P53" s="47">
        <f>N53-O53</f>
        <v/>
      </c>
    </row>
    <row r="54">
      <c r="A54" s="9" t="inlineStr">
        <is>
          <t>Land closing costs</t>
        </is>
      </c>
      <c r="B54" s="24" t="inlineStr">
        <is>
          <t>Phase 1</t>
        </is>
      </c>
      <c r="C54" s="24" t="inlineStr">
        <is>
          <t>Land year</t>
        </is>
      </c>
      <c r="D54" s="21">
        <f>'Sources &amp; Uses'!$D$22*(D$50=Assumptions!$E$8)*(1+Assumptions!$E$189)^(D$50-2026)</f>
        <v/>
      </c>
      <c r="E54" s="21">
        <f>'Sources &amp; Uses'!$D$22*(E$50=Assumptions!$E$8)*(1+Assumptions!$E$189)^(E$50-2026)</f>
        <v/>
      </c>
      <c r="F54" s="21">
        <f>'Sources &amp; Uses'!$D$22*(F$50=Assumptions!$E$8)*(1+Assumptions!$E$189)^(F$50-2026)</f>
        <v/>
      </c>
      <c r="G54" s="21">
        <f>'Sources &amp; Uses'!$D$22*(G$50=Assumptions!$E$8)*(1+Assumptions!$E$189)^(G$50-2026)</f>
        <v/>
      </c>
      <c r="H54" s="21">
        <f>'Sources &amp; Uses'!$D$22*(H$50=Assumptions!$E$8)*(1+Assumptions!$E$189)^(H$50-2026)</f>
        <v/>
      </c>
      <c r="I54" s="21">
        <f>'Sources &amp; Uses'!$D$22*(I$50=Assumptions!$E$8)*(1+Assumptions!$E$189)^(I$50-2026)</f>
        <v/>
      </c>
      <c r="J54" s="21">
        <f>'Sources &amp; Uses'!$D$22*(J$50=Assumptions!$E$8)*(1+Assumptions!$E$189)^(J$50-2026)</f>
        <v/>
      </c>
      <c r="K54" s="21">
        <f>'Sources &amp; Uses'!$D$22*(K$50=Assumptions!$E$8)*(1+Assumptions!$E$189)^(K$50-2026)</f>
        <v/>
      </c>
      <c r="L54" s="21">
        <f>'Sources &amp; Uses'!$D$22*(L$50=Assumptions!$E$8)*(1+Assumptions!$E$189)^(L$50-2026)</f>
        <v/>
      </c>
      <c r="M54" s="21">
        <f>'Sources &amp; Uses'!$D$22*(M$50=Assumptions!$E$8)*(1+Assumptions!$E$189)^(M$50-2026)</f>
        <v/>
      </c>
      <c r="N54" s="47">
        <f>SUM(D54:M54)</f>
        <v/>
      </c>
      <c r="O54" s="47">
        <f>'Sources &amp; Uses'!$D$22</f>
        <v/>
      </c>
      <c r="P54" s="47">
        <f>N54-O54</f>
        <v/>
      </c>
    </row>
    <row r="55">
      <c r="A55" s="9" t="inlineStr">
        <is>
          <t>Site infrastructure, Phase 1 share (roads, fire access, water, wastewater, power, data)</t>
        </is>
      </c>
      <c r="B55" s="24" t="inlineStr">
        <is>
          <t>Phase 1</t>
        </is>
      </c>
      <c r="C55" s="24" t="inlineStr">
        <is>
          <t>Opening -1, 0</t>
        </is>
      </c>
      <c r="D55" s="21">
        <f>'Sources &amp; Uses'!$D$23*((D$50=Assumptions!$E$9-2)*Assumptions!$E$87+(D$50=Assumptions!$E$9-1)*Assumptions!$E$88+(D$50=Assumptions!$E$9)*Assumptions!$E$89)*(1+Assumptions!$E$189)^(D$50-2026)</f>
        <v/>
      </c>
      <c r="E55" s="21">
        <f>'Sources &amp; Uses'!$D$23*((E$50=Assumptions!$E$9-2)*Assumptions!$E$87+(E$50=Assumptions!$E$9-1)*Assumptions!$E$88+(E$50=Assumptions!$E$9)*Assumptions!$E$89)*(1+Assumptions!$E$189)^(E$50-2026)</f>
        <v/>
      </c>
      <c r="F55" s="21">
        <f>'Sources &amp; Uses'!$D$23*((F$50=Assumptions!$E$9-2)*Assumptions!$E$87+(F$50=Assumptions!$E$9-1)*Assumptions!$E$88+(F$50=Assumptions!$E$9)*Assumptions!$E$89)*(1+Assumptions!$E$189)^(F$50-2026)</f>
        <v/>
      </c>
      <c r="G55" s="21">
        <f>'Sources &amp; Uses'!$D$23*((G$50=Assumptions!$E$9-2)*Assumptions!$E$87+(G$50=Assumptions!$E$9-1)*Assumptions!$E$88+(G$50=Assumptions!$E$9)*Assumptions!$E$89)*(1+Assumptions!$E$189)^(G$50-2026)</f>
        <v/>
      </c>
      <c r="H55" s="21">
        <f>'Sources &amp; Uses'!$D$23*((H$50=Assumptions!$E$9-2)*Assumptions!$E$87+(H$50=Assumptions!$E$9-1)*Assumptions!$E$88+(H$50=Assumptions!$E$9)*Assumptions!$E$89)*(1+Assumptions!$E$189)^(H$50-2026)</f>
        <v/>
      </c>
      <c r="I55" s="21">
        <f>'Sources &amp; Uses'!$D$23*((I$50=Assumptions!$E$9-2)*Assumptions!$E$87+(I$50=Assumptions!$E$9-1)*Assumptions!$E$88+(I$50=Assumptions!$E$9)*Assumptions!$E$89)*(1+Assumptions!$E$189)^(I$50-2026)</f>
        <v/>
      </c>
      <c r="J55" s="21">
        <f>'Sources &amp; Uses'!$D$23*((J$50=Assumptions!$E$9-2)*Assumptions!$E$87+(J$50=Assumptions!$E$9-1)*Assumptions!$E$88+(J$50=Assumptions!$E$9)*Assumptions!$E$89)*(1+Assumptions!$E$189)^(J$50-2026)</f>
        <v/>
      </c>
      <c r="K55" s="21">
        <f>'Sources &amp; Uses'!$D$23*((K$50=Assumptions!$E$9-2)*Assumptions!$E$87+(K$50=Assumptions!$E$9-1)*Assumptions!$E$88+(K$50=Assumptions!$E$9)*Assumptions!$E$89)*(1+Assumptions!$E$189)^(K$50-2026)</f>
        <v/>
      </c>
      <c r="L55" s="21">
        <f>'Sources &amp; Uses'!$D$23*((L$50=Assumptions!$E$9-2)*Assumptions!$E$87+(L$50=Assumptions!$E$9-1)*Assumptions!$E$88+(L$50=Assumptions!$E$9)*Assumptions!$E$89)*(1+Assumptions!$E$189)^(L$50-2026)</f>
        <v/>
      </c>
      <c r="M55" s="21">
        <f>'Sources &amp; Uses'!$D$23*((M$50=Assumptions!$E$9-2)*Assumptions!$E$87+(M$50=Assumptions!$E$9-1)*Assumptions!$E$88+(M$50=Assumptions!$E$9)*Assumptions!$E$89)*(1+Assumptions!$E$189)^(M$50-2026)</f>
        <v/>
      </c>
      <c r="N55" s="47">
        <f>SUM(D55:M55)</f>
        <v/>
      </c>
      <c r="O55" s="47">
        <f>'Sources &amp; Uses'!$D$23</f>
        <v/>
      </c>
      <c r="P55" s="47">
        <f>N55-O55</f>
        <v/>
      </c>
    </row>
    <row r="56">
      <c r="A56" s="9" t="inlineStr">
        <is>
          <t>Fire water storage, hydrants, shutoff generator, initial fuel clearance</t>
        </is>
      </c>
      <c r="B56" s="24" t="inlineStr">
        <is>
          <t>Phase 1</t>
        </is>
      </c>
      <c r="C56" s="24" t="inlineStr">
        <is>
          <t>Opening -1, 0</t>
        </is>
      </c>
      <c r="D56" s="21">
        <f>'Sources &amp; Uses'!$D$24*((D$50=Assumptions!$E$9-2)*Assumptions!$E$87+(D$50=Assumptions!$E$9-1)*Assumptions!$E$88+(D$50=Assumptions!$E$9)*Assumptions!$E$89)*(1+Assumptions!$E$189)^(D$50-2026)</f>
        <v/>
      </c>
      <c r="E56" s="21">
        <f>'Sources &amp; Uses'!$D$24*((E$50=Assumptions!$E$9-2)*Assumptions!$E$87+(E$50=Assumptions!$E$9-1)*Assumptions!$E$88+(E$50=Assumptions!$E$9)*Assumptions!$E$89)*(1+Assumptions!$E$189)^(E$50-2026)</f>
        <v/>
      </c>
      <c r="F56" s="21">
        <f>'Sources &amp; Uses'!$D$24*((F$50=Assumptions!$E$9-2)*Assumptions!$E$87+(F$50=Assumptions!$E$9-1)*Assumptions!$E$88+(F$50=Assumptions!$E$9)*Assumptions!$E$89)*(1+Assumptions!$E$189)^(F$50-2026)</f>
        <v/>
      </c>
      <c r="G56" s="21">
        <f>'Sources &amp; Uses'!$D$24*((G$50=Assumptions!$E$9-2)*Assumptions!$E$87+(G$50=Assumptions!$E$9-1)*Assumptions!$E$88+(G$50=Assumptions!$E$9)*Assumptions!$E$89)*(1+Assumptions!$E$189)^(G$50-2026)</f>
        <v/>
      </c>
      <c r="H56" s="21">
        <f>'Sources &amp; Uses'!$D$24*((H$50=Assumptions!$E$9-2)*Assumptions!$E$87+(H$50=Assumptions!$E$9-1)*Assumptions!$E$88+(H$50=Assumptions!$E$9)*Assumptions!$E$89)*(1+Assumptions!$E$189)^(H$50-2026)</f>
        <v/>
      </c>
      <c r="I56" s="21">
        <f>'Sources &amp; Uses'!$D$24*((I$50=Assumptions!$E$9-2)*Assumptions!$E$87+(I$50=Assumptions!$E$9-1)*Assumptions!$E$88+(I$50=Assumptions!$E$9)*Assumptions!$E$89)*(1+Assumptions!$E$189)^(I$50-2026)</f>
        <v/>
      </c>
      <c r="J56" s="21">
        <f>'Sources &amp; Uses'!$D$24*((J$50=Assumptions!$E$9-2)*Assumptions!$E$87+(J$50=Assumptions!$E$9-1)*Assumptions!$E$88+(J$50=Assumptions!$E$9)*Assumptions!$E$89)*(1+Assumptions!$E$189)^(J$50-2026)</f>
        <v/>
      </c>
      <c r="K56" s="21">
        <f>'Sources &amp; Uses'!$D$24*((K$50=Assumptions!$E$9-2)*Assumptions!$E$87+(K$50=Assumptions!$E$9-1)*Assumptions!$E$88+(K$50=Assumptions!$E$9)*Assumptions!$E$89)*(1+Assumptions!$E$189)^(K$50-2026)</f>
        <v/>
      </c>
      <c r="L56" s="21">
        <f>'Sources &amp; Uses'!$D$24*((L$50=Assumptions!$E$9-2)*Assumptions!$E$87+(L$50=Assumptions!$E$9-1)*Assumptions!$E$88+(L$50=Assumptions!$E$9)*Assumptions!$E$89)*(1+Assumptions!$E$189)^(L$50-2026)</f>
        <v/>
      </c>
      <c r="M56" s="21">
        <f>'Sources &amp; Uses'!$D$24*((M$50=Assumptions!$E$9-2)*Assumptions!$E$87+(M$50=Assumptions!$E$9-1)*Assumptions!$E$88+(M$50=Assumptions!$E$9)*Assumptions!$E$89)*(1+Assumptions!$E$189)^(M$50-2026)</f>
        <v/>
      </c>
      <c r="N56" s="47">
        <f>SUM(D56:M56)</f>
        <v/>
      </c>
      <c r="O56" s="47">
        <f>'Sources &amp; Uses'!$D$24</f>
        <v/>
      </c>
      <c r="P56" s="47">
        <f>N56-O56</f>
        <v/>
      </c>
    </row>
    <row r="57">
      <c r="A57" s="9" t="inlineStr">
        <is>
          <t>Amphitheater, 150 seats (bowl, stage, canopy, back-of-house, restrooms, lighting)</t>
        </is>
      </c>
      <c r="B57" s="24" t="inlineStr">
        <is>
          <t>Phase 1</t>
        </is>
      </c>
      <c r="C57" s="24" t="inlineStr">
        <is>
          <t>Opening -1, 0</t>
        </is>
      </c>
      <c r="D57" s="21">
        <f>'Sources &amp; Uses'!$D$25*((D$50=Assumptions!$E$9-2)*Assumptions!$E$87+(D$50=Assumptions!$E$9-1)*Assumptions!$E$88+(D$50=Assumptions!$E$9)*Assumptions!$E$89)*(1+Assumptions!$E$189)^(D$50-2026)</f>
        <v/>
      </c>
      <c r="E57" s="21">
        <f>'Sources &amp; Uses'!$D$25*((E$50=Assumptions!$E$9-2)*Assumptions!$E$87+(E$50=Assumptions!$E$9-1)*Assumptions!$E$88+(E$50=Assumptions!$E$9)*Assumptions!$E$89)*(1+Assumptions!$E$189)^(E$50-2026)</f>
        <v/>
      </c>
      <c r="F57" s="21">
        <f>'Sources &amp; Uses'!$D$25*((F$50=Assumptions!$E$9-2)*Assumptions!$E$87+(F$50=Assumptions!$E$9-1)*Assumptions!$E$88+(F$50=Assumptions!$E$9)*Assumptions!$E$89)*(1+Assumptions!$E$189)^(F$50-2026)</f>
        <v/>
      </c>
      <c r="G57" s="21">
        <f>'Sources &amp; Uses'!$D$25*((G$50=Assumptions!$E$9-2)*Assumptions!$E$87+(G$50=Assumptions!$E$9-1)*Assumptions!$E$88+(G$50=Assumptions!$E$9)*Assumptions!$E$89)*(1+Assumptions!$E$189)^(G$50-2026)</f>
        <v/>
      </c>
      <c r="H57" s="21">
        <f>'Sources &amp; Uses'!$D$25*((H$50=Assumptions!$E$9-2)*Assumptions!$E$87+(H$50=Assumptions!$E$9-1)*Assumptions!$E$88+(H$50=Assumptions!$E$9)*Assumptions!$E$89)*(1+Assumptions!$E$189)^(H$50-2026)</f>
        <v/>
      </c>
      <c r="I57" s="21">
        <f>'Sources &amp; Uses'!$D$25*((I$50=Assumptions!$E$9-2)*Assumptions!$E$87+(I$50=Assumptions!$E$9-1)*Assumptions!$E$88+(I$50=Assumptions!$E$9)*Assumptions!$E$89)*(1+Assumptions!$E$189)^(I$50-2026)</f>
        <v/>
      </c>
      <c r="J57" s="21">
        <f>'Sources &amp; Uses'!$D$25*((J$50=Assumptions!$E$9-2)*Assumptions!$E$87+(J$50=Assumptions!$E$9-1)*Assumptions!$E$88+(J$50=Assumptions!$E$9)*Assumptions!$E$89)*(1+Assumptions!$E$189)^(J$50-2026)</f>
        <v/>
      </c>
      <c r="K57" s="21">
        <f>'Sources &amp; Uses'!$D$25*((K$50=Assumptions!$E$9-2)*Assumptions!$E$87+(K$50=Assumptions!$E$9-1)*Assumptions!$E$88+(K$50=Assumptions!$E$9)*Assumptions!$E$89)*(1+Assumptions!$E$189)^(K$50-2026)</f>
        <v/>
      </c>
      <c r="L57" s="21">
        <f>'Sources &amp; Uses'!$D$25*((L$50=Assumptions!$E$9-2)*Assumptions!$E$87+(L$50=Assumptions!$E$9-1)*Assumptions!$E$88+(L$50=Assumptions!$E$9)*Assumptions!$E$89)*(1+Assumptions!$E$189)^(L$50-2026)</f>
        <v/>
      </c>
      <c r="M57" s="21">
        <f>'Sources &amp; Uses'!$D$25*((M$50=Assumptions!$E$9-2)*Assumptions!$E$87+(M$50=Assumptions!$E$9-1)*Assumptions!$E$88+(M$50=Assumptions!$E$9)*Assumptions!$E$89)*(1+Assumptions!$E$189)^(M$50-2026)</f>
        <v/>
      </c>
      <c r="N57" s="47">
        <f>SUM(D57:M57)</f>
        <v/>
      </c>
      <c r="O57" s="47">
        <f>'Sources &amp; Uses'!$D$25</f>
        <v/>
      </c>
      <c r="P57" s="47">
        <f>N57-O57</f>
        <v/>
      </c>
    </row>
    <row r="58">
      <c r="A58" s="9" t="inlineStr">
        <is>
          <t>Sculptural sound system</t>
        </is>
      </c>
      <c r="B58" s="24" t="inlineStr">
        <is>
          <t>Phase 1</t>
        </is>
      </c>
      <c r="C58" s="24" t="inlineStr">
        <is>
          <t>Opening -1, 0</t>
        </is>
      </c>
      <c r="D58" s="21">
        <f>'Sources &amp; Uses'!$D$26*((D$50=Assumptions!$E$9-1)*Assumptions!$E$95+(D$50=Assumptions!$E$9)*Assumptions!$E$96)*(1+Assumptions!$E$189)^(D$50-2026)</f>
        <v/>
      </c>
      <c r="E58" s="21">
        <f>'Sources &amp; Uses'!$D$26*((E$50=Assumptions!$E$9-1)*Assumptions!$E$95+(E$50=Assumptions!$E$9)*Assumptions!$E$96)*(1+Assumptions!$E$189)^(E$50-2026)</f>
        <v/>
      </c>
      <c r="F58" s="21">
        <f>'Sources &amp; Uses'!$D$26*((F$50=Assumptions!$E$9-1)*Assumptions!$E$95+(F$50=Assumptions!$E$9)*Assumptions!$E$96)*(1+Assumptions!$E$189)^(F$50-2026)</f>
        <v/>
      </c>
      <c r="G58" s="21">
        <f>'Sources &amp; Uses'!$D$26*((G$50=Assumptions!$E$9-1)*Assumptions!$E$95+(G$50=Assumptions!$E$9)*Assumptions!$E$96)*(1+Assumptions!$E$189)^(G$50-2026)</f>
        <v/>
      </c>
      <c r="H58" s="21">
        <f>'Sources &amp; Uses'!$D$26*((H$50=Assumptions!$E$9-1)*Assumptions!$E$95+(H$50=Assumptions!$E$9)*Assumptions!$E$96)*(1+Assumptions!$E$189)^(H$50-2026)</f>
        <v/>
      </c>
      <c r="I58" s="21">
        <f>'Sources &amp; Uses'!$D$26*((I$50=Assumptions!$E$9-1)*Assumptions!$E$95+(I$50=Assumptions!$E$9)*Assumptions!$E$96)*(1+Assumptions!$E$189)^(I$50-2026)</f>
        <v/>
      </c>
      <c r="J58" s="21">
        <f>'Sources &amp; Uses'!$D$26*((J$50=Assumptions!$E$9-1)*Assumptions!$E$95+(J$50=Assumptions!$E$9)*Assumptions!$E$96)*(1+Assumptions!$E$189)^(J$50-2026)</f>
        <v/>
      </c>
      <c r="K58" s="21">
        <f>'Sources &amp; Uses'!$D$26*((K$50=Assumptions!$E$9-1)*Assumptions!$E$95+(K$50=Assumptions!$E$9)*Assumptions!$E$96)*(1+Assumptions!$E$189)^(K$50-2026)</f>
        <v/>
      </c>
      <c r="L58" s="21">
        <f>'Sources &amp; Uses'!$D$26*((L$50=Assumptions!$E$9-1)*Assumptions!$E$95+(L$50=Assumptions!$E$9)*Assumptions!$E$96)*(1+Assumptions!$E$189)^(L$50-2026)</f>
        <v/>
      </c>
      <c r="M58" s="21">
        <f>'Sources &amp; Uses'!$D$26*((M$50=Assumptions!$E$9-1)*Assumptions!$E$95+(M$50=Assumptions!$E$9)*Assumptions!$E$96)*(1+Assumptions!$E$189)^(M$50-2026)</f>
        <v/>
      </c>
      <c r="N58" s="47">
        <f>SUM(D58:M58)</f>
        <v/>
      </c>
      <c r="O58" s="47">
        <f>'Sources &amp; Uses'!$D$26</f>
        <v/>
      </c>
      <c r="P58" s="47">
        <f>N58-O58</f>
        <v/>
      </c>
    </row>
    <row r="59">
      <c r="A59" s="9" t="inlineStr">
        <is>
          <t>Arcana cabins, Phase 1 (all 12)</t>
        </is>
      </c>
      <c r="B59" s="24" t="inlineStr">
        <is>
          <t>Phase 1</t>
        </is>
      </c>
      <c r="C59" s="24" t="inlineStr">
        <is>
          <t>50% order, 50% delivery</t>
        </is>
      </c>
      <c r="D59" s="21">
        <f>'Sources &amp; Uses'!$D$27*((D$50=Assumptions!$E$9-1)*Assumptions!$E$93+(D$50=Assumptions!$E$9)*Assumptions!$E$94)*(1+Assumptions!$E$189)^(D$50-2026)</f>
        <v/>
      </c>
      <c r="E59" s="21">
        <f>'Sources &amp; Uses'!$D$27*((E$50=Assumptions!$E$9-1)*Assumptions!$E$93+(E$50=Assumptions!$E$9)*Assumptions!$E$94)*(1+Assumptions!$E$189)^(E$50-2026)</f>
        <v/>
      </c>
      <c r="F59" s="21">
        <f>'Sources &amp; Uses'!$D$27*((F$50=Assumptions!$E$9-1)*Assumptions!$E$93+(F$50=Assumptions!$E$9)*Assumptions!$E$94)*(1+Assumptions!$E$189)^(F$50-2026)</f>
        <v/>
      </c>
      <c r="G59" s="21">
        <f>'Sources &amp; Uses'!$D$27*((G$50=Assumptions!$E$9-1)*Assumptions!$E$93+(G$50=Assumptions!$E$9)*Assumptions!$E$94)*(1+Assumptions!$E$189)^(G$50-2026)</f>
        <v/>
      </c>
      <c r="H59" s="21">
        <f>'Sources &amp; Uses'!$D$27*((H$50=Assumptions!$E$9-1)*Assumptions!$E$93+(H$50=Assumptions!$E$9)*Assumptions!$E$94)*(1+Assumptions!$E$189)^(H$50-2026)</f>
        <v/>
      </c>
      <c r="I59" s="21">
        <f>'Sources &amp; Uses'!$D$27*((I$50=Assumptions!$E$9-1)*Assumptions!$E$93+(I$50=Assumptions!$E$9)*Assumptions!$E$94)*(1+Assumptions!$E$189)^(I$50-2026)</f>
        <v/>
      </c>
      <c r="J59" s="21">
        <f>'Sources &amp; Uses'!$D$27*((J$50=Assumptions!$E$9-1)*Assumptions!$E$93+(J$50=Assumptions!$E$9)*Assumptions!$E$94)*(1+Assumptions!$E$189)^(J$50-2026)</f>
        <v/>
      </c>
      <c r="K59" s="21">
        <f>'Sources &amp; Uses'!$D$27*((K$50=Assumptions!$E$9-1)*Assumptions!$E$93+(K$50=Assumptions!$E$9)*Assumptions!$E$94)*(1+Assumptions!$E$189)^(K$50-2026)</f>
        <v/>
      </c>
      <c r="L59" s="21">
        <f>'Sources &amp; Uses'!$D$27*((L$50=Assumptions!$E$9-1)*Assumptions!$E$93+(L$50=Assumptions!$E$9)*Assumptions!$E$94)*(1+Assumptions!$E$189)^(L$50-2026)</f>
        <v/>
      </c>
      <c r="M59" s="21">
        <f>'Sources &amp; Uses'!$D$27*((M$50=Assumptions!$E$9-1)*Assumptions!$E$93+(M$50=Assumptions!$E$9)*Assumptions!$E$94)*(1+Assumptions!$E$189)^(M$50-2026)</f>
        <v/>
      </c>
      <c r="N59" s="47">
        <f>SUM(D59:M59)</f>
        <v/>
      </c>
      <c r="O59" s="47">
        <f>'Sources &amp; Uses'!$D$27</f>
        <v/>
      </c>
      <c r="P59" s="47">
        <f>N59-O59</f>
        <v/>
      </c>
    </row>
    <row r="60">
      <c r="A60" s="9" t="inlineStr">
        <is>
          <t>Bathhouse: sauna, cold plunge and hot tub, shared</t>
        </is>
      </c>
      <c r="B60" s="24" t="inlineStr">
        <is>
          <t>Phase 1</t>
        </is>
      </c>
      <c r="C60" s="24" t="inlineStr">
        <is>
          <t>Opening -1, 0</t>
        </is>
      </c>
      <c r="D60" s="21">
        <f>'Sources &amp; Uses'!$D$28*((D$50=Assumptions!$E$9-2)*Assumptions!$E$87+(D$50=Assumptions!$E$9-1)*Assumptions!$E$88+(D$50=Assumptions!$E$9)*Assumptions!$E$89)*(1+Assumptions!$E$189)^(D$50-2026)</f>
        <v/>
      </c>
      <c r="E60" s="21">
        <f>'Sources &amp; Uses'!$D$28*((E$50=Assumptions!$E$9-2)*Assumptions!$E$87+(E$50=Assumptions!$E$9-1)*Assumptions!$E$88+(E$50=Assumptions!$E$9)*Assumptions!$E$89)*(1+Assumptions!$E$189)^(E$50-2026)</f>
        <v/>
      </c>
      <c r="F60" s="21">
        <f>'Sources &amp; Uses'!$D$28*((F$50=Assumptions!$E$9-2)*Assumptions!$E$87+(F$50=Assumptions!$E$9-1)*Assumptions!$E$88+(F$50=Assumptions!$E$9)*Assumptions!$E$89)*(1+Assumptions!$E$189)^(F$50-2026)</f>
        <v/>
      </c>
      <c r="G60" s="21">
        <f>'Sources &amp; Uses'!$D$28*((G$50=Assumptions!$E$9-2)*Assumptions!$E$87+(G$50=Assumptions!$E$9-1)*Assumptions!$E$88+(G$50=Assumptions!$E$9)*Assumptions!$E$89)*(1+Assumptions!$E$189)^(G$50-2026)</f>
        <v/>
      </c>
      <c r="H60" s="21">
        <f>'Sources &amp; Uses'!$D$28*((H$50=Assumptions!$E$9-2)*Assumptions!$E$87+(H$50=Assumptions!$E$9-1)*Assumptions!$E$88+(H$50=Assumptions!$E$9)*Assumptions!$E$89)*(1+Assumptions!$E$189)^(H$50-2026)</f>
        <v/>
      </c>
      <c r="I60" s="21">
        <f>'Sources &amp; Uses'!$D$28*((I$50=Assumptions!$E$9-2)*Assumptions!$E$87+(I$50=Assumptions!$E$9-1)*Assumptions!$E$88+(I$50=Assumptions!$E$9)*Assumptions!$E$89)*(1+Assumptions!$E$189)^(I$50-2026)</f>
        <v/>
      </c>
      <c r="J60" s="21">
        <f>'Sources &amp; Uses'!$D$28*((J$50=Assumptions!$E$9-2)*Assumptions!$E$87+(J$50=Assumptions!$E$9-1)*Assumptions!$E$88+(J$50=Assumptions!$E$9)*Assumptions!$E$89)*(1+Assumptions!$E$189)^(J$50-2026)</f>
        <v/>
      </c>
      <c r="K60" s="21">
        <f>'Sources &amp; Uses'!$D$28*((K$50=Assumptions!$E$9-2)*Assumptions!$E$87+(K$50=Assumptions!$E$9-1)*Assumptions!$E$88+(K$50=Assumptions!$E$9)*Assumptions!$E$89)*(1+Assumptions!$E$189)^(K$50-2026)</f>
        <v/>
      </c>
      <c r="L60" s="21">
        <f>'Sources &amp; Uses'!$D$28*((L$50=Assumptions!$E$9-2)*Assumptions!$E$87+(L$50=Assumptions!$E$9-1)*Assumptions!$E$88+(L$50=Assumptions!$E$9)*Assumptions!$E$89)*(1+Assumptions!$E$189)^(L$50-2026)</f>
        <v/>
      </c>
      <c r="M60" s="21">
        <f>'Sources &amp; Uses'!$D$28*((M$50=Assumptions!$E$9-2)*Assumptions!$E$87+(M$50=Assumptions!$E$9-1)*Assumptions!$E$88+(M$50=Assumptions!$E$9)*Assumptions!$E$89)*(1+Assumptions!$E$189)^(M$50-2026)</f>
        <v/>
      </c>
      <c r="N60" s="47">
        <f>SUM(D60:M60)</f>
        <v/>
      </c>
      <c r="O60" s="47">
        <f>'Sources &amp; Uses'!$D$28</f>
        <v/>
      </c>
      <c r="P60" s="47">
        <f>N60-O60</f>
        <v/>
      </c>
    </row>
    <row r="61">
      <c r="A61" s="9" t="inlineStr">
        <is>
          <t>Temporary kitchen (none: caterers until the gallery kitchen opens)</t>
        </is>
      </c>
      <c r="B61" s="24" t="inlineStr">
        <is>
          <t>Phase 1</t>
        </is>
      </c>
      <c r="C61" s="24" t="inlineStr">
        <is>
          <t>Opening year</t>
        </is>
      </c>
      <c r="D61" s="21">
        <f>'Sources &amp; Uses'!$D$29*(D$50=Assumptions!$E$9)*(1+Assumptions!$E$189)^(D$50-2026)</f>
        <v/>
      </c>
      <c r="E61" s="21">
        <f>'Sources &amp; Uses'!$D$29*(E$50=Assumptions!$E$9)*(1+Assumptions!$E$189)^(E$50-2026)</f>
        <v/>
      </c>
      <c r="F61" s="21">
        <f>'Sources &amp; Uses'!$D$29*(F$50=Assumptions!$E$9)*(1+Assumptions!$E$189)^(F$50-2026)</f>
        <v/>
      </c>
      <c r="G61" s="21">
        <f>'Sources &amp; Uses'!$D$29*(G$50=Assumptions!$E$9)*(1+Assumptions!$E$189)^(G$50-2026)</f>
        <v/>
      </c>
      <c r="H61" s="21">
        <f>'Sources &amp; Uses'!$D$29*(H$50=Assumptions!$E$9)*(1+Assumptions!$E$189)^(H$50-2026)</f>
        <v/>
      </c>
      <c r="I61" s="21">
        <f>'Sources &amp; Uses'!$D$29*(I$50=Assumptions!$E$9)*(1+Assumptions!$E$189)^(I$50-2026)</f>
        <v/>
      </c>
      <c r="J61" s="21">
        <f>'Sources &amp; Uses'!$D$29*(J$50=Assumptions!$E$9)*(1+Assumptions!$E$189)^(J$50-2026)</f>
        <v/>
      </c>
      <c r="K61" s="21">
        <f>'Sources &amp; Uses'!$D$29*(K$50=Assumptions!$E$9)*(1+Assumptions!$E$189)^(K$50-2026)</f>
        <v/>
      </c>
      <c r="L61" s="21">
        <f>'Sources &amp; Uses'!$D$29*(L$50=Assumptions!$E$9)*(1+Assumptions!$E$189)^(L$50-2026)</f>
        <v/>
      </c>
      <c r="M61" s="21">
        <f>'Sources &amp; Uses'!$D$29*(M$50=Assumptions!$E$9)*(1+Assumptions!$E$189)^(M$50-2026)</f>
        <v/>
      </c>
      <c r="N61" s="47">
        <f>SUM(D61:M61)</f>
        <v/>
      </c>
      <c r="O61" s="47">
        <f>'Sources &amp; Uses'!$D$29</f>
        <v/>
      </c>
      <c r="P61" s="47">
        <f>N61-O61</f>
        <v/>
      </c>
    </row>
    <row r="62">
      <c r="A62" s="9" t="inlineStr">
        <is>
          <t>School fees, Casitas water capital charge, HCD factory-built approval (one-time)</t>
        </is>
      </c>
      <c r="B62" s="24" t="inlineStr">
        <is>
          <t>Phase 1</t>
        </is>
      </c>
      <c r="C62" s="24" t="inlineStr">
        <is>
          <t>Opening -1, 0</t>
        </is>
      </c>
      <c r="D62" s="21">
        <f>'Sources &amp; Uses'!$D$30*((D$50=Assumptions!$E$9-2)*Assumptions!$E$87+(D$50=Assumptions!$E$9-1)*Assumptions!$E$88+(D$50=Assumptions!$E$9)*Assumptions!$E$89)*(1+Assumptions!$E$189)^(D$50-2026)</f>
        <v/>
      </c>
      <c r="E62" s="21">
        <f>'Sources &amp; Uses'!$D$30*((E$50=Assumptions!$E$9-2)*Assumptions!$E$87+(E$50=Assumptions!$E$9-1)*Assumptions!$E$88+(E$50=Assumptions!$E$9)*Assumptions!$E$89)*(1+Assumptions!$E$189)^(E$50-2026)</f>
        <v/>
      </c>
      <c r="F62" s="21">
        <f>'Sources &amp; Uses'!$D$30*((F$50=Assumptions!$E$9-2)*Assumptions!$E$87+(F$50=Assumptions!$E$9-1)*Assumptions!$E$88+(F$50=Assumptions!$E$9)*Assumptions!$E$89)*(1+Assumptions!$E$189)^(F$50-2026)</f>
        <v/>
      </c>
      <c r="G62" s="21">
        <f>'Sources &amp; Uses'!$D$30*((G$50=Assumptions!$E$9-2)*Assumptions!$E$87+(G$50=Assumptions!$E$9-1)*Assumptions!$E$88+(G$50=Assumptions!$E$9)*Assumptions!$E$89)*(1+Assumptions!$E$189)^(G$50-2026)</f>
        <v/>
      </c>
      <c r="H62" s="21">
        <f>'Sources &amp; Uses'!$D$30*((H$50=Assumptions!$E$9-2)*Assumptions!$E$87+(H$50=Assumptions!$E$9-1)*Assumptions!$E$88+(H$50=Assumptions!$E$9)*Assumptions!$E$89)*(1+Assumptions!$E$189)^(H$50-2026)</f>
        <v/>
      </c>
      <c r="I62" s="21">
        <f>'Sources &amp; Uses'!$D$30*((I$50=Assumptions!$E$9-2)*Assumptions!$E$87+(I$50=Assumptions!$E$9-1)*Assumptions!$E$88+(I$50=Assumptions!$E$9)*Assumptions!$E$89)*(1+Assumptions!$E$189)^(I$50-2026)</f>
        <v/>
      </c>
      <c r="J62" s="21">
        <f>'Sources &amp; Uses'!$D$30*((J$50=Assumptions!$E$9-2)*Assumptions!$E$87+(J$50=Assumptions!$E$9-1)*Assumptions!$E$88+(J$50=Assumptions!$E$9)*Assumptions!$E$89)*(1+Assumptions!$E$189)^(J$50-2026)</f>
        <v/>
      </c>
      <c r="K62" s="21">
        <f>'Sources &amp; Uses'!$D$30*((K$50=Assumptions!$E$9-2)*Assumptions!$E$87+(K$50=Assumptions!$E$9-1)*Assumptions!$E$88+(K$50=Assumptions!$E$9)*Assumptions!$E$89)*(1+Assumptions!$E$189)^(K$50-2026)</f>
        <v/>
      </c>
      <c r="L62" s="21">
        <f>'Sources &amp; Uses'!$D$30*((L$50=Assumptions!$E$9-2)*Assumptions!$E$87+(L$50=Assumptions!$E$9-1)*Assumptions!$E$88+(L$50=Assumptions!$E$9)*Assumptions!$E$89)*(1+Assumptions!$E$189)^(L$50-2026)</f>
        <v/>
      </c>
      <c r="M62" s="21">
        <f>'Sources &amp; Uses'!$D$30*((M$50=Assumptions!$E$9-2)*Assumptions!$E$87+(M$50=Assumptions!$E$9-1)*Assumptions!$E$88+(M$50=Assumptions!$E$9)*Assumptions!$E$89)*(1+Assumptions!$E$189)^(M$50-2026)</f>
        <v/>
      </c>
      <c r="N62" s="47">
        <f>SUM(D62:M62)</f>
        <v/>
      </c>
      <c r="O62" s="47">
        <f>'Sources &amp; Uses'!$D$30</f>
        <v/>
      </c>
      <c r="P62" s="47">
        <f>N62-O62</f>
        <v/>
      </c>
    </row>
    <row r="63">
      <c r="A63" s="9" t="inlineStr">
        <is>
          <t>Maintenance building and one staff unit</t>
        </is>
      </c>
      <c r="B63" s="24" t="inlineStr">
        <is>
          <t>Phase 1</t>
        </is>
      </c>
      <c r="C63" s="24" t="inlineStr">
        <is>
          <t>Opening -1, 0</t>
        </is>
      </c>
      <c r="D63" s="21">
        <f>'Sources &amp; Uses'!$D$31*((D$50=Assumptions!$E$9-2)*Assumptions!$E$87+(D$50=Assumptions!$E$9-1)*Assumptions!$E$88+(D$50=Assumptions!$E$9)*Assumptions!$E$89)*(1+Assumptions!$E$189)^(D$50-2026)</f>
        <v/>
      </c>
      <c r="E63" s="21">
        <f>'Sources &amp; Uses'!$D$31*((E$50=Assumptions!$E$9-2)*Assumptions!$E$87+(E$50=Assumptions!$E$9-1)*Assumptions!$E$88+(E$50=Assumptions!$E$9)*Assumptions!$E$89)*(1+Assumptions!$E$189)^(E$50-2026)</f>
        <v/>
      </c>
      <c r="F63" s="21">
        <f>'Sources &amp; Uses'!$D$31*((F$50=Assumptions!$E$9-2)*Assumptions!$E$87+(F$50=Assumptions!$E$9-1)*Assumptions!$E$88+(F$50=Assumptions!$E$9)*Assumptions!$E$89)*(1+Assumptions!$E$189)^(F$50-2026)</f>
        <v/>
      </c>
      <c r="G63" s="21">
        <f>'Sources &amp; Uses'!$D$31*((G$50=Assumptions!$E$9-2)*Assumptions!$E$87+(G$50=Assumptions!$E$9-1)*Assumptions!$E$88+(G$50=Assumptions!$E$9)*Assumptions!$E$89)*(1+Assumptions!$E$189)^(G$50-2026)</f>
        <v/>
      </c>
      <c r="H63" s="21">
        <f>'Sources &amp; Uses'!$D$31*((H$50=Assumptions!$E$9-2)*Assumptions!$E$87+(H$50=Assumptions!$E$9-1)*Assumptions!$E$88+(H$50=Assumptions!$E$9)*Assumptions!$E$89)*(1+Assumptions!$E$189)^(H$50-2026)</f>
        <v/>
      </c>
      <c r="I63" s="21">
        <f>'Sources &amp; Uses'!$D$31*((I$50=Assumptions!$E$9-2)*Assumptions!$E$87+(I$50=Assumptions!$E$9-1)*Assumptions!$E$88+(I$50=Assumptions!$E$9)*Assumptions!$E$89)*(1+Assumptions!$E$189)^(I$50-2026)</f>
        <v/>
      </c>
      <c r="J63" s="21">
        <f>'Sources &amp; Uses'!$D$31*((J$50=Assumptions!$E$9-2)*Assumptions!$E$87+(J$50=Assumptions!$E$9-1)*Assumptions!$E$88+(J$50=Assumptions!$E$9)*Assumptions!$E$89)*(1+Assumptions!$E$189)^(J$50-2026)</f>
        <v/>
      </c>
      <c r="K63" s="21">
        <f>'Sources &amp; Uses'!$D$31*((K$50=Assumptions!$E$9-2)*Assumptions!$E$87+(K$50=Assumptions!$E$9-1)*Assumptions!$E$88+(K$50=Assumptions!$E$9)*Assumptions!$E$89)*(1+Assumptions!$E$189)^(K$50-2026)</f>
        <v/>
      </c>
      <c r="L63" s="21">
        <f>'Sources &amp; Uses'!$D$31*((L$50=Assumptions!$E$9-2)*Assumptions!$E$87+(L$50=Assumptions!$E$9-1)*Assumptions!$E$88+(L$50=Assumptions!$E$9)*Assumptions!$E$89)*(1+Assumptions!$E$189)^(L$50-2026)</f>
        <v/>
      </c>
      <c r="M63" s="21">
        <f>'Sources &amp; Uses'!$D$31*((M$50=Assumptions!$E$9-2)*Assumptions!$E$87+(M$50=Assumptions!$E$9-1)*Assumptions!$E$88+(M$50=Assumptions!$E$9)*Assumptions!$E$89)*(1+Assumptions!$E$189)^(M$50-2026)</f>
        <v/>
      </c>
      <c r="N63" s="47">
        <f>SUM(D63:M63)</f>
        <v/>
      </c>
      <c r="O63" s="47">
        <f>'Sources &amp; Uses'!$D$31</f>
        <v/>
      </c>
      <c r="P63" s="47">
        <f>N63-O63</f>
        <v/>
      </c>
    </row>
    <row r="64">
      <c r="A64" s="9" t="inlineStr">
        <is>
          <t>Landscaping and artwork, Phase 1 share</t>
        </is>
      </c>
      <c r="B64" s="24" t="inlineStr">
        <is>
          <t>Phase 1</t>
        </is>
      </c>
      <c r="C64" s="24" t="inlineStr">
        <is>
          <t>Opening -1, 0</t>
        </is>
      </c>
      <c r="D64" s="21">
        <f>'Sources &amp; Uses'!$D$32*((D$50=Assumptions!$E$9-2)*Assumptions!$E$87+(D$50=Assumptions!$E$9-1)*Assumptions!$E$88+(D$50=Assumptions!$E$9)*Assumptions!$E$89)*(1+Assumptions!$E$189)^(D$50-2026)</f>
        <v/>
      </c>
      <c r="E64" s="21">
        <f>'Sources &amp; Uses'!$D$32*((E$50=Assumptions!$E$9-2)*Assumptions!$E$87+(E$50=Assumptions!$E$9-1)*Assumptions!$E$88+(E$50=Assumptions!$E$9)*Assumptions!$E$89)*(1+Assumptions!$E$189)^(E$50-2026)</f>
        <v/>
      </c>
      <c r="F64" s="21">
        <f>'Sources &amp; Uses'!$D$32*((F$50=Assumptions!$E$9-2)*Assumptions!$E$87+(F$50=Assumptions!$E$9-1)*Assumptions!$E$88+(F$50=Assumptions!$E$9)*Assumptions!$E$89)*(1+Assumptions!$E$189)^(F$50-2026)</f>
        <v/>
      </c>
      <c r="G64" s="21">
        <f>'Sources &amp; Uses'!$D$32*((G$50=Assumptions!$E$9-2)*Assumptions!$E$87+(G$50=Assumptions!$E$9-1)*Assumptions!$E$88+(G$50=Assumptions!$E$9)*Assumptions!$E$89)*(1+Assumptions!$E$189)^(G$50-2026)</f>
        <v/>
      </c>
      <c r="H64" s="21">
        <f>'Sources &amp; Uses'!$D$32*((H$50=Assumptions!$E$9-2)*Assumptions!$E$87+(H$50=Assumptions!$E$9-1)*Assumptions!$E$88+(H$50=Assumptions!$E$9)*Assumptions!$E$89)*(1+Assumptions!$E$189)^(H$50-2026)</f>
        <v/>
      </c>
      <c r="I64" s="21">
        <f>'Sources &amp; Uses'!$D$32*((I$50=Assumptions!$E$9-2)*Assumptions!$E$87+(I$50=Assumptions!$E$9-1)*Assumptions!$E$88+(I$50=Assumptions!$E$9)*Assumptions!$E$89)*(1+Assumptions!$E$189)^(I$50-2026)</f>
        <v/>
      </c>
      <c r="J64" s="21">
        <f>'Sources &amp; Uses'!$D$32*((J$50=Assumptions!$E$9-2)*Assumptions!$E$87+(J$50=Assumptions!$E$9-1)*Assumptions!$E$88+(J$50=Assumptions!$E$9)*Assumptions!$E$89)*(1+Assumptions!$E$189)^(J$50-2026)</f>
        <v/>
      </c>
      <c r="K64" s="21">
        <f>'Sources &amp; Uses'!$D$32*((K$50=Assumptions!$E$9-2)*Assumptions!$E$87+(K$50=Assumptions!$E$9-1)*Assumptions!$E$88+(K$50=Assumptions!$E$9)*Assumptions!$E$89)*(1+Assumptions!$E$189)^(K$50-2026)</f>
        <v/>
      </c>
      <c r="L64" s="21">
        <f>'Sources &amp; Uses'!$D$32*((L$50=Assumptions!$E$9-2)*Assumptions!$E$87+(L$50=Assumptions!$E$9-1)*Assumptions!$E$88+(L$50=Assumptions!$E$9)*Assumptions!$E$89)*(1+Assumptions!$E$189)^(L$50-2026)</f>
        <v/>
      </c>
      <c r="M64" s="21">
        <f>'Sources &amp; Uses'!$D$32*((M$50=Assumptions!$E$9-2)*Assumptions!$E$87+(M$50=Assumptions!$E$9-1)*Assumptions!$E$88+(M$50=Assumptions!$E$9)*Assumptions!$E$89)*(1+Assumptions!$E$189)^(M$50-2026)</f>
        <v/>
      </c>
      <c r="N64" s="47">
        <f>SUM(D64:M64)</f>
        <v/>
      </c>
      <c r="O64" s="47">
        <f>'Sources &amp; Uses'!$D$32</f>
        <v/>
      </c>
      <c r="P64" s="47">
        <f>N64-O64</f>
        <v/>
      </c>
    </row>
    <row r="65">
      <c r="A65" s="9" t="inlineStr">
        <is>
          <t>FF&amp;E, vehicles and operating equipment, Phase 1 share</t>
        </is>
      </c>
      <c r="B65" s="24" t="inlineStr">
        <is>
          <t>Phase 1</t>
        </is>
      </c>
      <c r="C65" s="24" t="inlineStr">
        <is>
          <t>Opening year</t>
        </is>
      </c>
      <c r="D65" s="21">
        <f>'Sources &amp; Uses'!$D$33*(D$50=Assumptions!$E$9)*(1+Assumptions!$E$189)^(D$50-2026)</f>
        <v/>
      </c>
      <c r="E65" s="21">
        <f>'Sources &amp; Uses'!$D$33*(E$50=Assumptions!$E$9)*(1+Assumptions!$E$189)^(E$50-2026)</f>
        <v/>
      </c>
      <c r="F65" s="21">
        <f>'Sources &amp; Uses'!$D$33*(F$50=Assumptions!$E$9)*(1+Assumptions!$E$189)^(F$50-2026)</f>
        <v/>
      </c>
      <c r="G65" s="21">
        <f>'Sources &amp; Uses'!$D$33*(G$50=Assumptions!$E$9)*(1+Assumptions!$E$189)^(G$50-2026)</f>
        <v/>
      </c>
      <c r="H65" s="21">
        <f>'Sources &amp; Uses'!$D$33*(H$50=Assumptions!$E$9)*(1+Assumptions!$E$189)^(H$50-2026)</f>
        <v/>
      </c>
      <c r="I65" s="21">
        <f>'Sources &amp; Uses'!$D$33*(I$50=Assumptions!$E$9)*(1+Assumptions!$E$189)^(I$50-2026)</f>
        <v/>
      </c>
      <c r="J65" s="21">
        <f>'Sources &amp; Uses'!$D$33*(J$50=Assumptions!$E$9)*(1+Assumptions!$E$189)^(J$50-2026)</f>
        <v/>
      </c>
      <c r="K65" s="21">
        <f>'Sources &amp; Uses'!$D$33*(K$50=Assumptions!$E$9)*(1+Assumptions!$E$189)^(K$50-2026)</f>
        <v/>
      </c>
      <c r="L65" s="21">
        <f>'Sources &amp; Uses'!$D$33*(L$50=Assumptions!$E$9)*(1+Assumptions!$E$189)^(L$50-2026)</f>
        <v/>
      </c>
      <c r="M65" s="21">
        <f>'Sources &amp; Uses'!$D$33*(M$50=Assumptions!$E$9)*(1+Assumptions!$E$189)^(M$50-2026)</f>
        <v/>
      </c>
      <c r="N65" s="47">
        <f>SUM(D65:M65)</f>
        <v/>
      </c>
      <c r="O65" s="47">
        <f>'Sources &amp; Uses'!$D$33</f>
        <v/>
      </c>
      <c r="P65" s="47">
        <f>N65-O65</f>
        <v/>
      </c>
    </row>
    <row r="66">
      <c r="A66" s="9" t="inlineStr">
        <is>
          <t>Soft costs, Phase 1 (design, engineering, acoustics, permits, fees, PM)</t>
        </is>
      </c>
      <c r="B66" s="24" t="inlineStr">
        <is>
          <t>Phase 1</t>
        </is>
      </c>
      <c r="C66" s="24" t="inlineStr">
        <is>
          <t>Opening -3 to 0</t>
        </is>
      </c>
      <c r="D66" s="21">
        <f>'Sources &amp; Uses'!$D$34*((D$50=Assumptions!$E$9-4)*Assumptions!$E$79+(D$50=Assumptions!$E$9-3)*Assumptions!$E$80+(D$50=Assumptions!$E$9-2)*Assumptions!$E$81+(D$50=Assumptions!$E$9-1)*Assumptions!$E$82+(D$50=Assumptions!$E$9)*Assumptions!$E$83)*(1+Assumptions!$E$189)^(D$50-2026)</f>
        <v/>
      </c>
      <c r="E66" s="21">
        <f>'Sources &amp; Uses'!$D$34*((E$50=Assumptions!$E$9-4)*Assumptions!$E$79+(E$50=Assumptions!$E$9-3)*Assumptions!$E$80+(E$50=Assumptions!$E$9-2)*Assumptions!$E$81+(E$50=Assumptions!$E$9-1)*Assumptions!$E$82+(E$50=Assumptions!$E$9)*Assumptions!$E$83)*(1+Assumptions!$E$189)^(E$50-2026)</f>
        <v/>
      </c>
      <c r="F66" s="21">
        <f>'Sources &amp; Uses'!$D$34*((F$50=Assumptions!$E$9-4)*Assumptions!$E$79+(F$50=Assumptions!$E$9-3)*Assumptions!$E$80+(F$50=Assumptions!$E$9-2)*Assumptions!$E$81+(F$50=Assumptions!$E$9-1)*Assumptions!$E$82+(F$50=Assumptions!$E$9)*Assumptions!$E$83)*(1+Assumptions!$E$189)^(F$50-2026)</f>
        <v/>
      </c>
      <c r="G66" s="21">
        <f>'Sources &amp; Uses'!$D$34*((G$50=Assumptions!$E$9-4)*Assumptions!$E$79+(G$50=Assumptions!$E$9-3)*Assumptions!$E$80+(G$50=Assumptions!$E$9-2)*Assumptions!$E$81+(G$50=Assumptions!$E$9-1)*Assumptions!$E$82+(G$50=Assumptions!$E$9)*Assumptions!$E$83)*(1+Assumptions!$E$189)^(G$50-2026)</f>
        <v/>
      </c>
      <c r="H66" s="21">
        <f>'Sources &amp; Uses'!$D$34*((H$50=Assumptions!$E$9-4)*Assumptions!$E$79+(H$50=Assumptions!$E$9-3)*Assumptions!$E$80+(H$50=Assumptions!$E$9-2)*Assumptions!$E$81+(H$50=Assumptions!$E$9-1)*Assumptions!$E$82+(H$50=Assumptions!$E$9)*Assumptions!$E$83)*(1+Assumptions!$E$189)^(H$50-2026)</f>
        <v/>
      </c>
      <c r="I66" s="21">
        <f>'Sources &amp; Uses'!$D$34*((I$50=Assumptions!$E$9-4)*Assumptions!$E$79+(I$50=Assumptions!$E$9-3)*Assumptions!$E$80+(I$50=Assumptions!$E$9-2)*Assumptions!$E$81+(I$50=Assumptions!$E$9-1)*Assumptions!$E$82+(I$50=Assumptions!$E$9)*Assumptions!$E$83)*(1+Assumptions!$E$189)^(I$50-2026)</f>
        <v/>
      </c>
      <c r="J66" s="21">
        <f>'Sources &amp; Uses'!$D$34*((J$50=Assumptions!$E$9-4)*Assumptions!$E$79+(J$50=Assumptions!$E$9-3)*Assumptions!$E$80+(J$50=Assumptions!$E$9-2)*Assumptions!$E$81+(J$50=Assumptions!$E$9-1)*Assumptions!$E$82+(J$50=Assumptions!$E$9)*Assumptions!$E$83)*(1+Assumptions!$E$189)^(J$50-2026)</f>
        <v/>
      </c>
      <c r="K66" s="21">
        <f>'Sources &amp; Uses'!$D$34*((K$50=Assumptions!$E$9-4)*Assumptions!$E$79+(K$50=Assumptions!$E$9-3)*Assumptions!$E$80+(K$50=Assumptions!$E$9-2)*Assumptions!$E$81+(K$50=Assumptions!$E$9-1)*Assumptions!$E$82+(K$50=Assumptions!$E$9)*Assumptions!$E$83)*(1+Assumptions!$E$189)^(K$50-2026)</f>
        <v/>
      </c>
      <c r="L66" s="21">
        <f>'Sources &amp; Uses'!$D$34*((L$50=Assumptions!$E$9-4)*Assumptions!$E$79+(L$50=Assumptions!$E$9-3)*Assumptions!$E$80+(L$50=Assumptions!$E$9-2)*Assumptions!$E$81+(L$50=Assumptions!$E$9-1)*Assumptions!$E$82+(L$50=Assumptions!$E$9)*Assumptions!$E$83)*(1+Assumptions!$E$189)^(L$50-2026)</f>
        <v/>
      </c>
      <c r="M66" s="21">
        <f>'Sources &amp; Uses'!$D$34*((M$50=Assumptions!$E$9-4)*Assumptions!$E$79+(M$50=Assumptions!$E$9-3)*Assumptions!$E$80+(M$50=Assumptions!$E$9-2)*Assumptions!$E$81+(M$50=Assumptions!$E$9-1)*Assumptions!$E$82+(M$50=Assumptions!$E$9)*Assumptions!$E$83)*(1+Assumptions!$E$189)^(M$50-2026)</f>
        <v/>
      </c>
      <c r="N66" s="47">
        <f>SUM(D66:M66)</f>
        <v/>
      </c>
      <c r="O66" s="47">
        <f>'Sources &amp; Uses'!$D$34</f>
        <v/>
      </c>
      <c r="P66" s="47">
        <f>N66-O66</f>
        <v/>
      </c>
    </row>
    <row r="67">
      <c r="A67" s="9" t="inlineStr">
        <is>
          <t>Contingency, Phase 1</t>
        </is>
      </c>
      <c r="B67" s="24" t="inlineStr">
        <is>
          <t>Phase 1</t>
        </is>
      </c>
      <c r="C67" s="24" t="inlineStr">
        <is>
          <t>Opening -1, 0</t>
        </is>
      </c>
      <c r="D67" s="21">
        <f>'Sources &amp; Uses'!$D$35*((D$50=Assumptions!$E$9-2)*Assumptions!$E$87+(D$50=Assumptions!$E$9-1)*Assumptions!$E$88+(D$50=Assumptions!$E$9)*Assumptions!$E$89)*(1+Assumptions!$E$189)^(D$50-2026)</f>
        <v/>
      </c>
      <c r="E67" s="21">
        <f>'Sources &amp; Uses'!$D$35*((E$50=Assumptions!$E$9-2)*Assumptions!$E$87+(E$50=Assumptions!$E$9-1)*Assumptions!$E$88+(E$50=Assumptions!$E$9)*Assumptions!$E$89)*(1+Assumptions!$E$189)^(E$50-2026)</f>
        <v/>
      </c>
      <c r="F67" s="21">
        <f>'Sources &amp; Uses'!$D$35*((F$50=Assumptions!$E$9-2)*Assumptions!$E$87+(F$50=Assumptions!$E$9-1)*Assumptions!$E$88+(F$50=Assumptions!$E$9)*Assumptions!$E$89)*(1+Assumptions!$E$189)^(F$50-2026)</f>
        <v/>
      </c>
      <c r="G67" s="21">
        <f>'Sources &amp; Uses'!$D$35*((G$50=Assumptions!$E$9-2)*Assumptions!$E$87+(G$50=Assumptions!$E$9-1)*Assumptions!$E$88+(G$50=Assumptions!$E$9)*Assumptions!$E$89)*(1+Assumptions!$E$189)^(G$50-2026)</f>
        <v/>
      </c>
      <c r="H67" s="21">
        <f>'Sources &amp; Uses'!$D$35*((H$50=Assumptions!$E$9-2)*Assumptions!$E$87+(H$50=Assumptions!$E$9-1)*Assumptions!$E$88+(H$50=Assumptions!$E$9)*Assumptions!$E$89)*(1+Assumptions!$E$189)^(H$50-2026)</f>
        <v/>
      </c>
      <c r="I67" s="21">
        <f>'Sources &amp; Uses'!$D$35*((I$50=Assumptions!$E$9-2)*Assumptions!$E$87+(I$50=Assumptions!$E$9-1)*Assumptions!$E$88+(I$50=Assumptions!$E$9)*Assumptions!$E$89)*(1+Assumptions!$E$189)^(I$50-2026)</f>
        <v/>
      </c>
      <c r="J67" s="21">
        <f>'Sources &amp; Uses'!$D$35*((J$50=Assumptions!$E$9-2)*Assumptions!$E$87+(J$50=Assumptions!$E$9-1)*Assumptions!$E$88+(J$50=Assumptions!$E$9)*Assumptions!$E$89)*(1+Assumptions!$E$189)^(J$50-2026)</f>
        <v/>
      </c>
      <c r="K67" s="21">
        <f>'Sources &amp; Uses'!$D$35*((K$50=Assumptions!$E$9-2)*Assumptions!$E$87+(K$50=Assumptions!$E$9-1)*Assumptions!$E$88+(K$50=Assumptions!$E$9)*Assumptions!$E$89)*(1+Assumptions!$E$189)^(K$50-2026)</f>
        <v/>
      </c>
      <c r="L67" s="21">
        <f>'Sources &amp; Uses'!$D$35*((L$50=Assumptions!$E$9-2)*Assumptions!$E$87+(L$50=Assumptions!$E$9-1)*Assumptions!$E$88+(L$50=Assumptions!$E$9)*Assumptions!$E$89)*(1+Assumptions!$E$189)^(L$50-2026)</f>
        <v/>
      </c>
      <c r="M67" s="21">
        <f>'Sources &amp; Uses'!$D$35*((M$50=Assumptions!$E$9-2)*Assumptions!$E$87+(M$50=Assumptions!$E$9-1)*Assumptions!$E$88+(M$50=Assumptions!$E$9)*Assumptions!$E$89)*(1+Assumptions!$E$189)^(M$50-2026)</f>
        <v/>
      </c>
      <c r="N67" s="47">
        <f>SUM(D67:M67)</f>
        <v/>
      </c>
      <c r="O67" s="47">
        <f>'Sources &amp; Uses'!$D$35</f>
        <v/>
      </c>
      <c r="P67" s="47">
        <f>N67-O67</f>
        <v/>
      </c>
    </row>
    <row r="68">
      <c r="A68" s="9" t="inlineStr">
        <is>
          <t>Site infrastructure, Phase 2 share</t>
        </is>
      </c>
      <c r="B68" s="24" t="inlineStr">
        <is>
          <t>Phase 2</t>
        </is>
      </c>
      <c r="C68" s="24" t="inlineStr">
        <is>
          <t>Opening -1, 0</t>
        </is>
      </c>
      <c r="D68" s="21">
        <f>'Sources &amp; Uses'!$D$38*((D$50=Assumptions!$E$10-2)*Assumptions!$E$87+(D$50=Assumptions!$E$10-1)*Assumptions!$E$88+(D$50=Assumptions!$E$10)*Assumptions!$E$89)*(1+Assumptions!$E$189)^(D$50-2026)</f>
        <v/>
      </c>
      <c r="E68" s="21">
        <f>'Sources &amp; Uses'!$D$38*((E$50=Assumptions!$E$10-2)*Assumptions!$E$87+(E$50=Assumptions!$E$10-1)*Assumptions!$E$88+(E$50=Assumptions!$E$10)*Assumptions!$E$89)*(1+Assumptions!$E$189)^(E$50-2026)</f>
        <v/>
      </c>
      <c r="F68" s="21">
        <f>'Sources &amp; Uses'!$D$38*((F$50=Assumptions!$E$10-2)*Assumptions!$E$87+(F$50=Assumptions!$E$10-1)*Assumptions!$E$88+(F$50=Assumptions!$E$10)*Assumptions!$E$89)*(1+Assumptions!$E$189)^(F$50-2026)</f>
        <v/>
      </c>
      <c r="G68" s="21">
        <f>'Sources &amp; Uses'!$D$38*((G$50=Assumptions!$E$10-2)*Assumptions!$E$87+(G$50=Assumptions!$E$10-1)*Assumptions!$E$88+(G$50=Assumptions!$E$10)*Assumptions!$E$89)*(1+Assumptions!$E$189)^(G$50-2026)</f>
        <v/>
      </c>
      <c r="H68" s="21">
        <f>'Sources &amp; Uses'!$D$38*((H$50=Assumptions!$E$10-2)*Assumptions!$E$87+(H$50=Assumptions!$E$10-1)*Assumptions!$E$88+(H$50=Assumptions!$E$10)*Assumptions!$E$89)*(1+Assumptions!$E$189)^(H$50-2026)</f>
        <v/>
      </c>
      <c r="I68" s="21">
        <f>'Sources &amp; Uses'!$D$38*((I$50=Assumptions!$E$10-2)*Assumptions!$E$87+(I$50=Assumptions!$E$10-1)*Assumptions!$E$88+(I$50=Assumptions!$E$10)*Assumptions!$E$89)*(1+Assumptions!$E$189)^(I$50-2026)</f>
        <v/>
      </c>
      <c r="J68" s="21">
        <f>'Sources &amp; Uses'!$D$38*((J$50=Assumptions!$E$10-2)*Assumptions!$E$87+(J$50=Assumptions!$E$10-1)*Assumptions!$E$88+(J$50=Assumptions!$E$10)*Assumptions!$E$89)*(1+Assumptions!$E$189)^(J$50-2026)</f>
        <v/>
      </c>
      <c r="K68" s="21">
        <f>'Sources &amp; Uses'!$D$38*((K$50=Assumptions!$E$10-2)*Assumptions!$E$87+(K$50=Assumptions!$E$10-1)*Assumptions!$E$88+(K$50=Assumptions!$E$10)*Assumptions!$E$89)*(1+Assumptions!$E$189)^(K$50-2026)</f>
        <v/>
      </c>
      <c r="L68" s="21">
        <f>'Sources &amp; Uses'!$D$38*((L$50=Assumptions!$E$10-2)*Assumptions!$E$87+(L$50=Assumptions!$E$10-1)*Assumptions!$E$88+(L$50=Assumptions!$E$10)*Assumptions!$E$89)*(1+Assumptions!$E$189)^(L$50-2026)</f>
        <v/>
      </c>
      <c r="M68" s="21">
        <f>'Sources &amp; Uses'!$D$38*((M$50=Assumptions!$E$10-2)*Assumptions!$E$87+(M$50=Assumptions!$E$10-1)*Assumptions!$E$88+(M$50=Assumptions!$E$10)*Assumptions!$E$89)*(1+Assumptions!$E$189)^(M$50-2026)</f>
        <v/>
      </c>
      <c r="N68" s="47">
        <f>SUM(D68:M68)</f>
        <v/>
      </c>
      <c r="O68" s="47">
        <f>'Sources &amp; Uses'!$D$38</f>
        <v/>
      </c>
      <c r="P68" s="47">
        <f>N68-O68</f>
        <v/>
      </c>
    </row>
    <row r="69">
      <c r="A69" s="9" t="inlineStr">
        <is>
          <t>Recording studio, 2,500 sf, building and acoustic fit-out</t>
        </is>
      </c>
      <c r="B69" s="24" t="inlineStr">
        <is>
          <t>Phase 2</t>
        </is>
      </c>
      <c r="C69" s="24" t="inlineStr">
        <is>
          <t>Opening -1, 0</t>
        </is>
      </c>
      <c r="D69" s="21">
        <f>'Sources &amp; Uses'!$D$39*((D$50=Assumptions!$E$10-2)*Assumptions!$E$87+(D$50=Assumptions!$E$10-1)*Assumptions!$E$88+(D$50=Assumptions!$E$10)*Assumptions!$E$89)*(1+Assumptions!$E$189)^(D$50-2026)</f>
        <v/>
      </c>
      <c r="E69" s="21">
        <f>'Sources &amp; Uses'!$D$39*((E$50=Assumptions!$E$10-2)*Assumptions!$E$87+(E$50=Assumptions!$E$10-1)*Assumptions!$E$88+(E$50=Assumptions!$E$10)*Assumptions!$E$89)*(1+Assumptions!$E$189)^(E$50-2026)</f>
        <v/>
      </c>
      <c r="F69" s="21">
        <f>'Sources &amp; Uses'!$D$39*((F$50=Assumptions!$E$10-2)*Assumptions!$E$87+(F$50=Assumptions!$E$10-1)*Assumptions!$E$88+(F$50=Assumptions!$E$10)*Assumptions!$E$89)*(1+Assumptions!$E$189)^(F$50-2026)</f>
        <v/>
      </c>
      <c r="G69" s="21">
        <f>'Sources &amp; Uses'!$D$39*((G$50=Assumptions!$E$10-2)*Assumptions!$E$87+(G$50=Assumptions!$E$10-1)*Assumptions!$E$88+(G$50=Assumptions!$E$10)*Assumptions!$E$89)*(1+Assumptions!$E$189)^(G$50-2026)</f>
        <v/>
      </c>
      <c r="H69" s="21">
        <f>'Sources &amp; Uses'!$D$39*((H$50=Assumptions!$E$10-2)*Assumptions!$E$87+(H$50=Assumptions!$E$10-1)*Assumptions!$E$88+(H$50=Assumptions!$E$10)*Assumptions!$E$89)*(1+Assumptions!$E$189)^(H$50-2026)</f>
        <v/>
      </c>
      <c r="I69" s="21">
        <f>'Sources &amp; Uses'!$D$39*((I$50=Assumptions!$E$10-2)*Assumptions!$E$87+(I$50=Assumptions!$E$10-1)*Assumptions!$E$88+(I$50=Assumptions!$E$10)*Assumptions!$E$89)*(1+Assumptions!$E$189)^(I$50-2026)</f>
        <v/>
      </c>
      <c r="J69" s="21">
        <f>'Sources &amp; Uses'!$D$39*((J$50=Assumptions!$E$10-2)*Assumptions!$E$87+(J$50=Assumptions!$E$10-1)*Assumptions!$E$88+(J$50=Assumptions!$E$10)*Assumptions!$E$89)*(1+Assumptions!$E$189)^(J$50-2026)</f>
        <v/>
      </c>
      <c r="K69" s="21">
        <f>'Sources &amp; Uses'!$D$39*((K$50=Assumptions!$E$10-2)*Assumptions!$E$87+(K$50=Assumptions!$E$10-1)*Assumptions!$E$88+(K$50=Assumptions!$E$10)*Assumptions!$E$89)*(1+Assumptions!$E$189)^(K$50-2026)</f>
        <v/>
      </c>
      <c r="L69" s="21">
        <f>'Sources &amp; Uses'!$D$39*((L$50=Assumptions!$E$10-2)*Assumptions!$E$87+(L$50=Assumptions!$E$10-1)*Assumptions!$E$88+(L$50=Assumptions!$E$10)*Assumptions!$E$89)*(1+Assumptions!$E$189)^(L$50-2026)</f>
        <v/>
      </c>
      <c r="M69" s="21">
        <f>'Sources &amp; Uses'!$D$39*((M$50=Assumptions!$E$10-2)*Assumptions!$E$87+(M$50=Assumptions!$E$10-1)*Assumptions!$E$88+(M$50=Assumptions!$E$10)*Assumptions!$E$89)*(1+Assumptions!$E$189)^(M$50-2026)</f>
        <v/>
      </c>
      <c r="N69" s="47">
        <f>SUM(D69:M69)</f>
        <v/>
      </c>
      <c r="O69" s="47">
        <f>'Sources &amp; Uses'!$D$39</f>
        <v/>
      </c>
      <c r="P69" s="47">
        <f>N69-O69</f>
        <v/>
      </c>
    </row>
    <row r="70">
      <c r="A70" s="9" t="inlineStr">
        <is>
          <t>Studio gear and instruments (console, monitoring, microphones, outboard, piano, backline)</t>
        </is>
      </c>
      <c r="B70" s="24" t="inlineStr">
        <is>
          <t>Phase 2</t>
        </is>
      </c>
      <c r="C70" s="24" t="inlineStr">
        <is>
          <t>Opening -1, 0</t>
        </is>
      </c>
      <c r="D70" s="21">
        <f>'Sources &amp; Uses'!$D$40*((D$50=Assumptions!$E$10-1)*Assumptions!$E$95+(D$50=Assumptions!$E$10)*Assumptions!$E$96)*(1+Assumptions!$E$189)^(D$50-2026)</f>
        <v/>
      </c>
      <c r="E70" s="21">
        <f>'Sources &amp; Uses'!$D$40*((E$50=Assumptions!$E$10-1)*Assumptions!$E$95+(E$50=Assumptions!$E$10)*Assumptions!$E$96)*(1+Assumptions!$E$189)^(E$50-2026)</f>
        <v/>
      </c>
      <c r="F70" s="21">
        <f>'Sources &amp; Uses'!$D$40*((F$50=Assumptions!$E$10-1)*Assumptions!$E$95+(F$50=Assumptions!$E$10)*Assumptions!$E$96)*(1+Assumptions!$E$189)^(F$50-2026)</f>
        <v/>
      </c>
      <c r="G70" s="21">
        <f>'Sources &amp; Uses'!$D$40*((G$50=Assumptions!$E$10-1)*Assumptions!$E$95+(G$50=Assumptions!$E$10)*Assumptions!$E$96)*(1+Assumptions!$E$189)^(G$50-2026)</f>
        <v/>
      </c>
      <c r="H70" s="21">
        <f>'Sources &amp; Uses'!$D$40*((H$50=Assumptions!$E$10-1)*Assumptions!$E$95+(H$50=Assumptions!$E$10)*Assumptions!$E$96)*(1+Assumptions!$E$189)^(H$50-2026)</f>
        <v/>
      </c>
      <c r="I70" s="21">
        <f>'Sources &amp; Uses'!$D$40*((I$50=Assumptions!$E$10-1)*Assumptions!$E$95+(I$50=Assumptions!$E$10)*Assumptions!$E$96)*(1+Assumptions!$E$189)^(I$50-2026)</f>
        <v/>
      </c>
      <c r="J70" s="21">
        <f>'Sources &amp; Uses'!$D$40*((J$50=Assumptions!$E$10-1)*Assumptions!$E$95+(J$50=Assumptions!$E$10)*Assumptions!$E$96)*(1+Assumptions!$E$189)^(J$50-2026)</f>
        <v/>
      </c>
      <c r="K70" s="21">
        <f>'Sources &amp; Uses'!$D$40*((K$50=Assumptions!$E$10-1)*Assumptions!$E$95+(K$50=Assumptions!$E$10)*Assumptions!$E$96)*(1+Assumptions!$E$189)^(K$50-2026)</f>
        <v/>
      </c>
      <c r="L70" s="21">
        <f>'Sources &amp; Uses'!$D$40*((L$50=Assumptions!$E$10-1)*Assumptions!$E$95+(L$50=Assumptions!$E$10)*Assumptions!$E$96)*(1+Assumptions!$E$189)^(L$50-2026)</f>
        <v/>
      </c>
      <c r="M70" s="21">
        <f>'Sources &amp; Uses'!$D$40*((M$50=Assumptions!$E$10-1)*Assumptions!$E$95+(M$50=Assumptions!$E$10)*Assumptions!$E$96)*(1+Assumptions!$E$189)^(M$50-2026)</f>
        <v/>
      </c>
      <c r="N70" s="47">
        <f>SUM(D70:M70)</f>
        <v/>
      </c>
      <c r="O70" s="47">
        <f>'Sources &amp; Uses'!$D$40</f>
        <v/>
      </c>
      <c r="P70" s="47">
        <f>N70-O70</f>
        <v/>
      </c>
    </row>
    <row r="71">
      <c r="A71" s="9" t="inlineStr">
        <is>
          <t>Instruments (included in studio gear and instruments)</t>
        </is>
      </c>
      <c r="B71" s="24" t="inlineStr">
        <is>
          <t>Phase 2</t>
        </is>
      </c>
      <c r="C71" s="24" t="inlineStr">
        <is>
          <t>Opening -1, 0</t>
        </is>
      </c>
      <c r="D71" s="21">
        <f>'Sources &amp; Uses'!$D$41*((D$50=Assumptions!$E$10-1)*Assumptions!$E$95+(D$50=Assumptions!$E$10)*Assumptions!$E$96)*(1+Assumptions!$E$189)^(D$50-2026)</f>
        <v/>
      </c>
      <c r="E71" s="21">
        <f>'Sources &amp; Uses'!$D$41*((E$50=Assumptions!$E$10-1)*Assumptions!$E$95+(E$50=Assumptions!$E$10)*Assumptions!$E$96)*(1+Assumptions!$E$189)^(E$50-2026)</f>
        <v/>
      </c>
      <c r="F71" s="21">
        <f>'Sources &amp; Uses'!$D$41*((F$50=Assumptions!$E$10-1)*Assumptions!$E$95+(F$50=Assumptions!$E$10)*Assumptions!$E$96)*(1+Assumptions!$E$189)^(F$50-2026)</f>
        <v/>
      </c>
      <c r="G71" s="21">
        <f>'Sources &amp; Uses'!$D$41*((G$50=Assumptions!$E$10-1)*Assumptions!$E$95+(G$50=Assumptions!$E$10)*Assumptions!$E$96)*(1+Assumptions!$E$189)^(G$50-2026)</f>
        <v/>
      </c>
      <c r="H71" s="21">
        <f>'Sources &amp; Uses'!$D$41*((H$50=Assumptions!$E$10-1)*Assumptions!$E$95+(H$50=Assumptions!$E$10)*Assumptions!$E$96)*(1+Assumptions!$E$189)^(H$50-2026)</f>
        <v/>
      </c>
      <c r="I71" s="21">
        <f>'Sources &amp; Uses'!$D$41*((I$50=Assumptions!$E$10-1)*Assumptions!$E$95+(I$50=Assumptions!$E$10)*Assumptions!$E$96)*(1+Assumptions!$E$189)^(I$50-2026)</f>
        <v/>
      </c>
      <c r="J71" s="21">
        <f>'Sources &amp; Uses'!$D$41*((J$50=Assumptions!$E$10-1)*Assumptions!$E$95+(J$50=Assumptions!$E$10)*Assumptions!$E$96)*(1+Assumptions!$E$189)^(J$50-2026)</f>
        <v/>
      </c>
      <c r="K71" s="21">
        <f>'Sources &amp; Uses'!$D$41*((K$50=Assumptions!$E$10-1)*Assumptions!$E$95+(K$50=Assumptions!$E$10)*Assumptions!$E$96)*(1+Assumptions!$E$189)^(K$50-2026)</f>
        <v/>
      </c>
      <c r="L71" s="21">
        <f>'Sources &amp; Uses'!$D$41*((L$50=Assumptions!$E$10-1)*Assumptions!$E$95+(L$50=Assumptions!$E$10)*Assumptions!$E$96)*(1+Assumptions!$E$189)^(L$50-2026)</f>
        <v/>
      </c>
      <c r="M71" s="21">
        <f>'Sources &amp; Uses'!$D$41*((M$50=Assumptions!$E$10-1)*Assumptions!$E$95+(M$50=Assumptions!$E$10)*Assumptions!$E$96)*(1+Assumptions!$E$189)^(M$50-2026)</f>
        <v/>
      </c>
      <c r="N71" s="47">
        <f>SUM(D71:M71)</f>
        <v/>
      </c>
      <c r="O71" s="47">
        <f>'Sources &amp; Uses'!$D$41</f>
        <v/>
      </c>
      <c r="P71" s="47">
        <f>N71-O71</f>
        <v/>
      </c>
    </row>
    <row r="72">
      <c r="A72" s="9" t="inlineStr">
        <is>
          <t>Arcana cabins, Phase 2 (none: all 12 are in Phase 1)</t>
        </is>
      </c>
      <c r="B72" s="24" t="inlineStr">
        <is>
          <t>Phase 2</t>
        </is>
      </c>
      <c r="C72" s="24" t="inlineStr">
        <is>
          <t>50% order, 50% delivery</t>
        </is>
      </c>
      <c r="D72" s="21">
        <f>'Sources &amp; Uses'!$D$42*((D$50=Assumptions!$E$10-1)*Assumptions!$E$93+(D$50=Assumptions!$E$10)*Assumptions!$E$94)*(1+Assumptions!$E$189)^(D$50-2026)</f>
        <v/>
      </c>
      <c r="E72" s="21">
        <f>'Sources &amp; Uses'!$D$42*((E$50=Assumptions!$E$10-1)*Assumptions!$E$93+(E$50=Assumptions!$E$10)*Assumptions!$E$94)*(1+Assumptions!$E$189)^(E$50-2026)</f>
        <v/>
      </c>
      <c r="F72" s="21">
        <f>'Sources &amp; Uses'!$D$42*((F$50=Assumptions!$E$10-1)*Assumptions!$E$93+(F$50=Assumptions!$E$10)*Assumptions!$E$94)*(1+Assumptions!$E$189)^(F$50-2026)</f>
        <v/>
      </c>
      <c r="G72" s="21">
        <f>'Sources &amp; Uses'!$D$42*((G$50=Assumptions!$E$10-1)*Assumptions!$E$93+(G$50=Assumptions!$E$10)*Assumptions!$E$94)*(1+Assumptions!$E$189)^(G$50-2026)</f>
        <v/>
      </c>
      <c r="H72" s="21">
        <f>'Sources &amp; Uses'!$D$42*((H$50=Assumptions!$E$10-1)*Assumptions!$E$93+(H$50=Assumptions!$E$10)*Assumptions!$E$94)*(1+Assumptions!$E$189)^(H$50-2026)</f>
        <v/>
      </c>
      <c r="I72" s="21">
        <f>'Sources &amp; Uses'!$D$42*((I$50=Assumptions!$E$10-1)*Assumptions!$E$93+(I$50=Assumptions!$E$10)*Assumptions!$E$94)*(1+Assumptions!$E$189)^(I$50-2026)</f>
        <v/>
      </c>
      <c r="J72" s="21">
        <f>'Sources &amp; Uses'!$D$42*((J$50=Assumptions!$E$10-1)*Assumptions!$E$93+(J$50=Assumptions!$E$10)*Assumptions!$E$94)*(1+Assumptions!$E$189)^(J$50-2026)</f>
        <v/>
      </c>
      <c r="K72" s="21">
        <f>'Sources &amp; Uses'!$D$42*((K$50=Assumptions!$E$10-1)*Assumptions!$E$93+(K$50=Assumptions!$E$10)*Assumptions!$E$94)*(1+Assumptions!$E$189)^(K$50-2026)</f>
        <v/>
      </c>
      <c r="L72" s="21">
        <f>'Sources &amp; Uses'!$D$42*((L$50=Assumptions!$E$10-1)*Assumptions!$E$93+(L$50=Assumptions!$E$10)*Assumptions!$E$94)*(1+Assumptions!$E$189)^(L$50-2026)</f>
        <v/>
      </c>
      <c r="M72" s="21">
        <f>'Sources &amp; Uses'!$D$42*((M$50=Assumptions!$E$10-1)*Assumptions!$E$93+(M$50=Assumptions!$E$10)*Assumptions!$E$94)*(1+Assumptions!$E$189)^(M$50-2026)</f>
        <v/>
      </c>
      <c r="N72" s="47">
        <f>SUM(D72:M72)</f>
        <v/>
      </c>
      <c r="O72" s="47">
        <f>'Sources &amp; Uses'!$D$42</f>
        <v/>
      </c>
      <c r="P72" s="47">
        <f>N72-O72</f>
        <v/>
      </c>
    </row>
    <row r="73">
      <c r="A73" s="9" t="inlineStr">
        <is>
          <t>Residence and home, 3,000 sf</t>
        </is>
      </c>
      <c r="B73" s="24" t="inlineStr">
        <is>
          <t>Phase 2</t>
        </is>
      </c>
      <c r="C73" s="24" t="inlineStr">
        <is>
          <t>Opening -1, 0</t>
        </is>
      </c>
      <c r="D73" s="21">
        <f>'Sources &amp; Uses'!$D$43*((D$50=Assumptions!$E$10-2)*Assumptions!$E$87+(D$50=Assumptions!$E$10-1)*Assumptions!$E$88+(D$50=Assumptions!$E$10)*Assumptions!$E$89)*(1+Assumptions!$E$189)^(D$50-2026)</f>
        <v/>
      </c>
      <c r="E73" s="21">
        <f>'Sources &amp; Uses'!$D$43*((E$50=Assumptions!$E$10-2)*Assumptions!$E$87+(E$50=Assumptions!$E$10-1)*Assumptions!$E$88+(E$50=Assumptions!$E$10)*Assumptions!$E$89)*(1+Assumptions!$E$189)^(E$50-2026)</f>
        <v/>
      </c>
      <c r="F73" s="21">
        <f>'Sources &amp; Uses'!$D$43*((F$50=Assumptions!$E$10-2)*Assumptions!$E$87+(F$50=Assumptions!$E$10-1)*Assumptions!$E$88+(F$50=Assumptions!$E$10)*Assumptions!$E$89)*(1+Assumptions!$E$189)^(F$50-2026)</f>
        <v/>
      </c>
      <c r="G73" s="21">
        <f>'Sources &amp; Uses'!$D$43*((G$50=Assumptions!$E$10-2)*Assumptions!$E$87+(G$50=Assumptions!$E$10-1)*Assumptions!$E$88+(G$50=Assumptions!$E$10)*Assumptions!$E$89)*(1+Assumptions!$E$189)^(G$50-2026)</f>
        <v/>
      </c>
      <c r="H73" s="21">
        <f>'Sources &amp; Uses'!$D$43*((H$50=Assumptions!$E$10-2)*Assumptions!$E$87+(H$50=Assumptions!$E$10-1)*Assumptions!$E$88+(H$50=Assumptions!$E$10)*Assumptions!$E$89)*(1+Assumptions!$E$189)^(H$50-2026)</f>
        <v/>
      </c>
      <c r="I73" s="21">
        <f>'Sources &amp; Uses'!$D$43*((I$50=Assumptions!$E$10-2)*Assumptions!$E$87+(I$50=Assumptions!$E$10-1)*Assumptions!$E$88+(I$50=Assumptions!$E$10)*Assumptions!$E$89)*(1+Assumptions!$E$189)^(I$50-2026)</f>
        <v/>
      </c>
      <c r="J73" s="21">
        <f>'Sources &amp; Uses'!$D$43*((J$50=Assumptions!$E$10-2)*Assumptions!$E$87+(J$50=Assumptions!$E$10-1)*Assumptions!$E$88+(J$50=Assumptions!$E$10)*Assumptions!$E$89)*(1+Assumptions!$E$189)^(J$50-2026)</f>
        <v/>
      </c>
      <c r="K73" s="21">
        <f>'Sources &amp; Uses'!$D$43*((K$50=Assumptions!$E$10-2)*Assumptions!$E$87+(K$50=Assumptions!$E$10-1)*Assumptions!$E$88+(K$50=Assumptions!$E$10)*Assumptions!$E$89)*(1+Assumptions!$E$189)^(K$50-2026)</f>
        <v/>
      </c>
      <c r="L73" s="21">
        <f>'Sources &amp; Uses'!$D$43*((L$50=Assumptions!$E$10-2)*Assumptions!$E$87+(L$50=Assumptions!$E$10-1)*Assumptions!$E$88+(L$50=Assumptions!$E$10)*Assumptions!$E$89)*(1+Assumptions!$E$189)^(L$50-2026)</f>
        <v/>
      </c>
      <c r="M73" s="21">
        <f>'Sources &amp; Uses'!$D$43*((M$50=Assumptions!$E$10-2)*Assumptions!$E$87+(M$50=Assumptions!$E$10-1)*Assumptions!$E$88+(M$50=Assumptions!$E$10)*Assumptions!$E$89)*(1+Assumptions!$E$189)^(M$50-2026)</f>
        <v/>
      </c>
      <c r="N73" s="47">
        <f>SUM(D73:M73)</f>
        <v/>
      </c>
      <c r="O73" s="47">
        <f>'Sources &amp; Uses'!$D$43</f>
        <v/>
      </c>
      <c r="P73" s="47">
        <f>N73-O73</f>
        <v/>
      </c>
    </row>
    <row r="74">
      <c r="A74" s="9" t="inlineStr">
        <is>
          <t>Maintenance building and staff unit, Phase 2 share (none)</t>
        </is>
      </c>
      <c r="B74" s="24" t="inlineStr">
        <is>
          <t>Phase 2</t>
        </is>
      </c>
      <c r="C74" s="24" t="inlineStr">
        <is>
          <t>Opening -1, 0</t>
        </is>
      </c>
      <c r="D74" s="21">
        <f>'Sources &amp; Uses'!$D$44*((D$50=Assumptions!$E$10-2)*Assumptions!$E$87+(D$50=Assumptions!$E$10-1)*Assumptions!$E$88+(D$50=Assumptions!$E$10)*Assumptions!$E$89)*(1+Assumptions!$E$189)^(D$50-2026)</f>
        <v/>
      </c>
      <c r="E74" s="21">
        <f>'Sources &amp; Uses'!$D$44*((E$50=Assumptions!$E$10-2)*Assumptions!$E$87+(E$50=Assumptions!$E$10-1)*Assumptions!$E$88+(E$50=Assumptions!$E$10)*Assumptions!$E$89)*(1+Assumptions!$E$189)^(E$50-2026)</f>
        <v/>
      </c>
      <c r="F74" s="21">
        <f>'Sources &amp; Uses'!$D$44*((F$50=Assumptions!$E$10-2)*Assumptions!$E$87+(F$50=Assumptions!$E$10-1)*Assumptions!$E$88+(F$50=Assumptions!$E$10)*Assumptions!$E$89)*(1+Assumptions!$E$189)^(F$50-2026)</f>
        <v/>
      </c>
      <c r="G74" s="21">
        <f>'Sources &amp; Uses'!$D$44*((G$50=Assumptions!$E$10-2)*Assumptions!$E$87+(G$50=Assumptions!$E$10-1)*Assumptions!$E$88+(G$50=Assumptions!$E$10)*Assumptions!$E$89)*(1+Assumptions!$E$189)^(G$50-2026)</f>
        <v/>
      </c>
      <c r="H74" s="21">
        <f>'Sources &amp; Uses'!$D$44*((H$50=Assumptions!$E$10-2)*Assumptions!$E$87+(H$50=Assumptions!$E$10-1)*Assumptions!$E$88+(H$50=Assumptions!$E$10)*Assumptions!$E$89)*(1+Assumptions!$E$189)^(H$50-2026)</f>
        <v/>
      </c>
      <c r="I74" s="21">
        <f>'Sources &amp; Uses'!$D$44*((I$50=Assumptions!$E$10-2)*Assumptions!$E$87+(I$50=Assumptions!$E$10-1)*Assumptions!$E$88+(I$50=Assumptions!$E$10)*Assumptions!$E$89)*(1+Assumptions!$E$189)^(I$50-2026)</f>
        <v/>
      </c>
      <c r="J74" s="21">
        <f>'Sources &amp; Uses'!$D$44*((J$50=Assumptions!$E$10-2)*Assumptions!$E$87+(J$50=Assumptions!$E$10-1)*Assumptions!$E$88+(J$50=Assumptions!$E$10)*Assumptions!$E$89)*(1+Assumptions!$E$189)^(J$50-2026)</f>
        <v/>
      </c>
      <c r="K74" s="21">
        <f>'Sources &amp; Uses'!$D$44*((K$50=Assumptions!$E$10-2)*Assumptions!$E$87+(K$50=Assumptions!$E$10-1)*Assumptions!$E$88+(K$50=Assumptions!$E$10)*Assumptions!$E$89)*(1+Assumptions!$E$189)^(K$50-2026)</f>
        <v/>
      </c>
      <c r="L74" s="21">
        <f>'Sources &amp; Uses'!$D$44*((L$50=Assumptions!$E$10-2)*Assumptions!$E$87+(L$50=Assumptions!$E$10-1)*Assumptions!$E$88+(L$50=Assumptions!$E$10)*Assumptions!$E$89)*(1+Assumptions!$E$189)^(L$50-2026)</f>
        <v/>
      </c>
      <c r="M74" s="21">
        <f>'Sources &amp; Uses'!$D$44*((M$50=Assumptions!$E$10-2)*Assumptions!$E$87+(M$50=Assumptions!$E$10-1)*Assumptions!$E$88+(M$50=Assumptions!$E$10)*Assumptions!$E$89)*(1+Assumptions!$E$189)^(M$50-2026)</f>
        <v/>
      </c>
      <c r="N74" s="47">
        <f>SUM(D74:M74)</f>
        <v/>
      </c>
      <c r="O74" s="47">
        <f>'Sources &amp; Uses'!$D$44</f>
        <v/>
      </c>
      <c r="P74" s="47">
        <f>N74-O74</f>
        <v/>
      </c>
    </row>
    <row r="75">
      <c r="A75" s="9" t="inlineStr">
        <is>
          <t>Landscaping and artwork, Phase 2 share</t>
        </is>
      </c>
      <c r="B75" s="24" t="inlineStr">
        <is>
          <t>Phase 2</t>
        </is>
      </c>
      <c r="C75" s="24" t="inlineStr">
        <is>
          <t>Opening -1, 0</t>
        </is>
      </c>
      <c r="D75" s="21">
        <f>'Sources &amp; Uses'!$D$45*((D$50=Assumptions!$E$10-2)*Assumptions!$E$87+(D$50=Assumptions!$E$10-1)*Assumptions!$E$88+(D$50=Assumptions!$E$10)*Assumptions!$E$89)*(1+Assumptions!$E$189)^(D$50-2026)</f>
        <v/>
      </c>
      <c r="E75" s="21">
        <f>'Sources &amp; Uses'!$D$45*((E$50=Assumptions!$E$10-2)*Assumptions!$E$87+(E$50=Assumptions!$E$10-1)*Assumptions!$E$88+(E$50=Assumptions!$E$10)*Assumptions!$E$89)*(1+Assumptions!$E$189)^(E$50-2026)</f>
        <v/>
      </c>
      <c r="F75" s="21">
        <f>'Sources &amp; Uses'!$D$45*((F$50=Assumptions!$E$10-2)*Assumptions!$E$87+(F$50=Assumptions!$E$10-1)*Assumptions!$E$88+(F$50=Assumptions!$E$10)*Assumptions!$E$89)*(1+Assumptions!$E$189)^(F$50-2026)</f>
        <v/>
      </c>
      <c r="G75" s="21">
        <f>'Sources &amp; Uses'!$D$45*((G$50=Assumptions!$E$10-2)*Assumptions!$E$87+(G$50=Assumptions!$E$10-1)*Assumptions!$E$88+(G$50=Assumptions!$E$10)*Assumptions!$E$89)*(1+Assumptions!$E$189)^(G$50-2026)</f>
        <v/>
      </c>
      <c r="H75" s="21">
        <f>'Sources &amp; Uses'!$D$45*((H$50=Assumptions!$E$10-2)*Assumptions!$E$87+(H$50=Assumptions!$E$10-1)*Assumptions!$E$88+(H$50=Assumptions!$E$10)*Assumptions!$E$89)*(1+Assumptions!$E$189)^(H$50-2026)</f>
        <v/>
      </c>
      <c r="I75" s="21">
        <f>'Sources &amp; Uses'!$D$45*((I$50=Assumptions!$E$10-2)*Assumptions!$E$87+(I$50=Assumptions!$E$10-1)*Assumptions!$E$88+(I$50=Assumptions!$E$10)*Assumptions!$E$89)*(1+Assumptions!$E$189)^(I$50-2026)</f>
        <v/>
      </c>
      <c r="J75" s="21">
        <f>'Sources &amp; Uses'!$D$45*((J$50=Assumptions!$E$10-2)*Assumptions!$E$87+(J$50=Assumptions!$E$10-1)*Assumptions!$E$88+(J$50=Assumptions!$E$10)*Assumptions!$E$89)*(1+Assumptions!$E$189)^(J$50-2026)</f>
        <v/>
      </c>
      <c r="K75" s="21">
        <f>'Sources &amp; Uses'!$D$45*((K$50=Assumptions!$E$10-2)*Assumptions!$E$87+(K$50=Assumptions!$E$10-1)*Assumptions!$E$88+(K$50=Assumptions!$E$10)*Assumptions!$E$89)*(1+Assumptions!$E$189)^(K$50-2026)</f>
        <v/>
      </c>
      <c r="L75" s="21">
        <f>'Sources &amp; Uses'!$D$45*((L$50=Assumptions!$E$10-2)*Assumptions!$E$87+(L$50=Assumptions!$E$10-1)*Assumptions!$E$88+(L$50=Assumptions!$E$10)*Assumptions!$E$89)*(1+Assumptions!$E$189)^(L$50-2026)</f>
        <v/>
      </c>
      <c r="M75" s="21">
        <f>'Sources &amp; Uses'!$D$45*((M$50=Assumptions!$E$10-2)*Assumptions!$E$87+(M$50=Assumptions!$E$10-1)*Assumptions!$E$88+(M$50=Assumptions!$E$10)*Assumptions!$E$89)*(1+Assumptions!$E$189)^(M$50-2026)</f>
        <v/>
      </c>
      <c r="N75" s="47">
        <f>SUM(D75:M75)</f>
        <v/>
      </c>
      <c r="O75" s="47">
        <f>'Sources &amp; Uses'!$D$45</f>
        <v/>
      </c>
      <c r="P75" s="47">
        <f>N75-O75</f>
        <v/>
      </c>
    </row>
    <row r="76">
      <c r="A76" s="9" t="inlineStr">
        <is>
          <t>FF&amp;E, Phase 2 share</t>
        </is>
      </c>
      <c r="B76" s="24" t="inlineStr">
        <is>
          <t>Phase 2</t>
        </is>
      </c>
      <c r="C76" s="24" t="inlineStr">
        <is>
          <t>Opening year</t>
        </is>
      </c>
      <c r="D76" s="21">
        <f>'Sources &amp; Uses'!$D$46*(D$50=Assumptions!$E$10)*(1+Assumptions!$E$189)^(D$50-2026)</f>
        <v/>
      </c>
      <c r="E76" s="21">
        <f>'Sources &amp; Uses'!$D$46*(E$50=Assumptions!$E$10)*(1+Assumptions!$E$189)^(E$50-2026)</f>
        <v/>
      </c>
      <c r="F76" s="21">
        <f>'Sources &amp; Uses'!$D$46*(F$50=Assumptions!$E$10)*(1+Assumptions!$E$189)^(F$50-2026)</f>
        <v/>
      </c>
      <c r="G76" s="21">
        <f>'Sources &amp; Uses'!$D$46*(G$50=Assumptions!$E$10)*(1+Assumptions!$E$189)^(G$50-2026)</f>
        <v/>
      </c>
      <c r="H76" s="21">
        <f>'Sources &amp; Uses'!$D$46*(H$50=Assumptions!$E$10)*(1+Assumptions!$E$189)^(H$50-2026)</f>
        <v/>
      </c>
      <c r="I76" s="21">
        <f>'Sources &amp; Uses'!$D$46*(I$50=Assumptions!$E$10)*(1+Assumptions!$E$189)^(I$50-2026)</f>
        <v/>
      </c>
      <c r="J76" s="21">
        <f>'Sources &amp; Uses'!$D$46*(J$50=Assumptions!$E$10)*(1+Assumptions!$E$189)^(J$50-2026)</f>
        <v/>
      </c>
      <c r="K76" s="21">
        <f>'Sources &amp; Uses'!$D$46*(K$50=Assumptions!$E$10)*(1+Assumptions!$E$189)^(K$50-2026)</f>
        <v/>
      </c>
      <c r="L76" s="21">
        <f>'Sources &amp; Uses'!$D$46*(L$50=Assumptions!$E$10)*(1+Assumptions!$E$189)^(L$50-2026)</f>
        <v/>
      </c>
      <c r="M76" s="21">
        <f>'Sources &amp; Uses'!$D$46*(M$50=Assumptions!$E$10)*(1+Assumptions!$E$189)^(M$50-2026)</f>
        <v/>
      </c>
      <c r="N76" s="47">
        <f>SUM(D76:M76)</f>
        <v/>
      </c>
      <c r="O76" s="47">
        <f>'Sources &amp; Uses'!$D$46</f>
        <v/>
      </c>
      <c r="P76" s="47">
        <f>N76-O76</f>
        <v/>
      </c>
    </row>
    <row r="77">
      <c r="A77" s="9" t="inlineStr">
        <is>
          <t>Soft costs, Phase 2</t>
        </is>
      </c>
      <c r="B77" s="24" t="inlineStr">
        <is>
          <t>Phase 2</t>
        </is>
      </c>
      <c r="C77" s="24" t="inlineStr">
        <is>
          <t>Opening -3 to 0</t>
        </is>
      </c>
      <c r="D77" s="21">
        <f>'Sources &amp; Uses'!$D$47*((D$50=Assumptions!$E$10-4)*Assumptions!$E$79+(D$50=Assumptions!$E$10-3)*Assumptions!$E$80+(D$50=Assumptions!$E$10-2)*Assumptions!$E$81+(D$50=Assumptions!$E$10-1)*Assumptions!$E$82+(D$50=Assumptions!$E$10)*Assumptions!$E$83)*(1+Assumptions!$E$189)^(D$50-2026)</f>
        <v/>
      </c>
      <c r="E77" s="21">
        <f>'Sources &amp; Uses'!$D$47*((E$50=Assumptions!$E$10-4)*Assumptions!$E$79+(E$50=Assumptions!$E$10-3)*Assumptions!$E$80+(E$50=Assumptions!$E$10-2)*Assumptions!$E$81+(E$50=Assumptions!$E$10-1)*Assumptions!$E$82+(E$50=Assumptions!$E$10)*Assumptions!$E$83)*(1+Assumptions!$E$189)^(E$50-2026)</f>
        <v/>
      </c>
      <c r="F77" s="21">
        <f>'Sources &amp; Uses'!$D$47*((F$50=Assumptions!$E$10-4)*Assumptions!$E$79+(F$50=Assumptions!$E$10-3)*Assumptions!$E$80+(F$50=Assumptions!$E$10-2)*Assumptions!$E$81+(F$50=Assumptions!$E$10-1)*Assumptions!$E$82+(F$50=Assumptions!$E$10)*Assumptions!$E$83)*(1+Assumptions!$E$189)^(F$50-2026)</f>
        <v/>
      </c>
      <c r="G77" s="21">
        <f>'Sources &amp; Uses'!$D$47*((G$50=Assumptions!$E$10-4)*Assumptions!$E$79+(G$50=Assumptions!$E$10-3)*Assumptions!$E$80+(G$50=Assumptions!$E$10-2)*Assumptions!$E$81+(G$50=Assumptions!$E$10-1)*Assumptions!$E$82+(G$50=Assumptions!$E$10)*Assumptions!$E$83)*(1+Assumptions!$E$189)^(G$50-2026)</f>
        <v/>
      </c>
      <c r="H77" s="21">
        <f>'Sources &amp; Uses'!$D$47*((H$50=Assumptions!$E$10-4)*Assumptions!$E$79+(H$50=Assumptions!$E$10-3)*Assumptions!$E$80+(H$50=Assumptions!$E$10-2)*Assumptions!$E$81+(H$50=Assumptions!$E$10-1)*Assumptions!$E$82+(H$50=Assumptions!$E$10)*Assumptions!$E$83)*(1+Assumptions!$E$189)^(H$50-2026)</f>
        <v/>
      </c>
      <c r="I77" s="21">
        <f>'Sources &amp; Uses'!$D$47*((I$50=Assumptions!$E$10-4)*Assumptions!$E$79+(I$50=Assumptions!$E$10-3)*Assumptions!$E$80+(I$50=Assumptions!$E$10-2)*Assumptions!$E$81+(I$50=Assumptions!$E$10-1)*Assumptions!$E$82+(I$50=Assumptions!$E$10)*Assumptions!$E$83)*(1+Assumptions!$E$189)^(I$50-2026)</f>
        <v/>
      </c>
      <c r="J77" s="21">
        <f>'Sources &amp; Uses'!$D$47*((J$50=Assumptions!$E$10-4)*Assumptions!$E$79+(J$50=Assumptions!$E$10-3)*Assumptions!$E$80+(J$50=Assumptions!$E$10-2)*Assumptions!$E$81+(J$50=Assumptions!$E$10-1)*Assumptions!$E$82+(J$50=Assumptions!$E$10)*Assumptions!$E$83)*(1+Assumptions!$E$189)^(J$50-2026)</f>
        <v/>
      </c>
      <c r="K77" s="21">
        <f>'Sources &amp; Uses'!$D$47*((K$50=Assumptions!$E$10-4)*Assumptions!$E$79+(K$50=Assumptions!$E$10-3)*Assumptions!$E$80+(K$50=Assumptions!$E$10-2)*Assumptions!$E$81+(K$50=Assumptions!$E$10-1)*Assumptions!$E$82+(K$50=Assumptions!$E$10)*Assumptions!$E$83)*(1+Assumptions!$E$189)^(K$50-2026)</f>
        <v/>
      </c>
      <c r="L77" s="21">
        <f>'Sources &amp; Uses'!$D$47*((L$50=Assumptions!$E$10-4)*Assumptions!$E$79+(L$50=Assumptions!$E$10-3)*Assumptions!$E$80+(L$50=Assumptions!$E$10-2)*Assumptions!$E$81+(L$50=Assumptions!$E$10-1)*Assumptions!$E$82+(L$50=Assumptions!$E$10)*Assumptions!$E$83)*(1+Assumptions!$E$189)^(L$50-2026)</f>
        <v/>
      </c>
      <c r="M77" s="21">
        <f>'Sources &amp; Uses'!$D$47*((M$50=Assumptions!$E$10-4)*Assumptions!$E$79+(M$50=Assumptions!$E$10-3)*Assumptions!$E$80+(M$50=Assumptions!$E$10-2)*Assumptions!$E$81+(M$50=Assumptions!$E$10-1)*Assumptions!$E$82+(M$50=Assumptions!$E$10)*Assumptions!$E$83)*(1+Assumptions!$E$189)^(M$50-2026)</f>
        <v/>
      </c>
      <c r="N77" s="47">
        <f>SUM(D77:M77)</f>
        <v/>
      </c>
      <c r="O77" s="47">
        <f>'Sources &amp; Uses'!$D$47</f>
        <v/>
      </c>
      <c r="P77" s="47">
        <f>N77-O77</f>
        <v/>
      </c>
    </row>
    <row r="78">
      <c r="A78" s="9" t="inlineStr">
        <is>
          <t>Contingency, Phase 2</t>
        </is>
      </c>
      <c r="B78" s="24" t="inlineStr">
        <is>
          <t>Phase 2</t>
        </is>
      </c>
      <c r="C78" s="24" t="inlineStr">
        <is>
          <t>Opening -1, 0</t>
        </is>
      </c>
      <c r="D78" s="21">
        <f>'Sources &amp; Uses'!$D$48*((D$50=Assumptions!$E$10-2)*Assumptions!$E$87+(D$50=Assumptions!$E$10-1)*Assumptions!$E$88+(D$50=Assumptions!$E$10)*Assumptions!$E$89)*(1+Assumptions!$E$189)^(D$50-2026)</f>
        <v/>
      </c>
      <c r="E78" s="21">
        <f>'Sources &amp; Uses'!$D$48*((E$50=Assumptions!$E$10-2)*Assumptions!$E$87+(E$50=Assumptions!$E$10-1)*Assumptions!$E$88+(E$50=Assumptions!$E$10)*Assumptions!$E$89)*(1+Assumptions!$E$189)^(E$50-2026)</f>
        <v/>
      </c>
      <c r="F78" s="21">
        <f>'Sources &amp; Uses'!$D$48*((F$50=Assumptions!$E$10-2)*Assumptions!$E$87+(F$50=Assumptions!$E$10-1)*Assumptions!$E$88+(F$50=Assumptions!$E$10)*Assumptions!$E$89)*(1+Assumptions!$E$189)^(F$50-2026)</f>
        <v/>
      </c>
      <c r="G78" s="21">
        <f>'Sources &amp; Uses'!$D$48*((G$50=Assumptions!$E$10-2)*Assumptions!$E$87+(G$50=Assumptions!$E$10-1)*Assumptions!$E$88+(G$50=Assumptions!$E$10)*Assumptions!$E$89)*(1+Assumptions!$E$189)^(G$50-2026)</f>
        <v/>
      </c>
      <c r="H78" s="21">
        <f>'Sources &amp; Uses'!$D$48*((H$50=Assumptions!$E$10-2)*Assumptions!$E$87+(H$50=Assumptions!$E$10-1)*Assumptions!$E$88+(H$50=Assumptions!$E$10)*Assumptions!$E$89)*(1+Assumptions!$E$189)^(H$50-2026)</f>
        <v/>
      </c>
      <c r="I78" s="21">
        <f>'Sources &amp; Uses'!$D$48*((I$50=Assumptions!$E$10-2)*Assumptions!$E$87+(I$50=Assumptions!$E$10-1)*Assumptions!$E$88+(I$50=Assumptions!$E$10)*Assumptions!$E$89)*(1+Assumptions!$E$189)^(I$50-2026)</f>
        <v/>
      </c>
      <c r="J78" s="21">
        <f>'Sources &amp; Uses'!$D$48*((J$50=Assumptions!$E$10-2)*Assumptions!$E$87+(J$50=Assumptions!$E$10-1)*Assumptions!$E$88+(J$50=Assumptions!$E$10)*Assumptions!$E$89)*(1+Assumptions!$E$189)^(J$50-2026)</f>
        <v/>
      </c>
      <c r="K78" s="21">
        <f>'Sources &amp; Uses'!$D$48*((K$50=Assumptions!$E$10-2)*Assumptions!$E$87+(K$50=Assumptions!$E$10-1)*Assumptions!$E$88+(K$50=Assumptions!$E$10)*Assumptions!$E$89)*(1+Assumptions!$E$189)^(K$50-2026)</f>
        <v/>
      </c>
      <c r="L78" s="21">
        <f>'Sources &amp; Uses'!$D$48*((L$50=Assumptions!$E$10-2)*Assumptions!$E$87+(L$50=Assumptions!$E$10-1)*Assumptions!$E$88+(L$50=Assumptions!$E$10)*Assumptions!$E$89)*(1+Assumptions!$E$189)^(L$50-2026)</f>
        <v/>
      </c>
      <c r="M78" s="21">
        <f>'Sources &amp; Uses'!$D$48*((M$50=Assumptions!$E$10-2)*Assumptions!$E$87+(M$50=Assumptions!$E$10-1)*Assumptions!$E$88+(M$50=Assumptions!$E$10)*Assumptions!$E$89)*(1+Assumptions!$E$189)^(M$50-2026)</f>
        <v/>
      </c>
      <c r="N78" s="47">
        <f>SUM(D78:M78)</f>
        <v/>
      </c>
      <c r="O78" s="47">
        <f>'Sources &amp; Uses'!$D$48</f>
        <v/>
      </c>
      <c r="P78" s="47">
        <f>N78-O78</f>
        <v/>
      </c>
    </row>
    <row r="79">
      <c r="A79" s="9" t="inlineStr">
        <is>
          <t>Site infrastructure, Phase 3 share</t>
        </is>
      </c>
      <c r="B79" s="24" t="inlineStr">
        <is>
          <t>Phase 3</t>
        </is>
      </c>
      <c r="C79" s="24" t="inlineStr">
        <is>
          <t>Opening -2 to 0</t>
        </is>
      </c>
      <c r="D79" s="21">
        <f>'Sources &amp; Uses'!$D$51*((D$50=Assumptions!$E$11-2)*Assumptions!$E$90+(D$50=Assumptions!$E$11-1)*Assumptions!$E$91+(D$50=Assumptions!$E$11)*Assumptions!$E$92)*(1+Assumptions!$E$189)^(D$50-2026)</f>
        <v/>
      </c>
      <c r="E79" s="21">
        <f>'Sources &amp; Uses'!$D$51*((E$50=Assumptions!$E$11-2)*Assumptions!$E$90+(E$50=Assumptions!$E$11-1)*Assumptions!$E$91+(E$50=Assumptions!$E$11)*Assumptions!$E$92)*(1+Assumptions!$E$189)^(E$50-2026)</f>
        <v/>
      </c>
      <c r="F79" s="21">
        <f>'Sources &amp; Uses'!$D$51*((F$50=Assumptions!$E$11-2)*Assumptions!$E$90+(F$50=Assumptions!$E$11-1)*Assumptions!$E$91+(F$50=Assumptions!$E$11)*Assumptions!$E$92)*(1+Assumptions!$E$189)^(F$50-2026)</f>
        <v/>
      </c>
      <c r="G79" s="21">
        <f>'Sources &amp; Uses'!$D$51*((G$50=Assumptions!$E$11-2)*Assumptions!$E$90+(G$50=Assumptions!$E$11-1)*Assumptions!$E$91+(G$50=Assumptions!$E$11)*Assumptions!$E$92)*(1+Assumptions!$E$189)^(G$50-2026)</f>
        <v/>
      </c>
      <c r="H79" s="21">
        <f>'Sources &amp; Uses'!$D$51*((H$50=Assumptions!$E$11-2)*Assumptions!$E$90+(H$50=Assumptions!$E$11-1)*Assumptions!$E$91+(H$50=Assumptions!$E$11)*Assumptions!$E$92)*(1+Assumptions!$E$189)^(H$50-2026)</f>
        <v/>
      </c>
      <c r="I79" s="21">
        <f>'Sources &amp; Uses'!$D$51*((I$50=Assumptions!$E$11-2)*Assumptions!$E$90+(I$50=Assumptions!$E$11-1)*Assumptions!$E$91+(I$50=Assumptions!$E$11)*Assumptions!$E$92)*(1+Assumptions!$E$189)^(I$50-2026)</f>
        <v/>
      </c>
      <c r="J79" s="21">
        <f>'Sources &amp; Uses'!$D$51*((J$50=Assumptions!$E$11-2)*Assumptions!$E$90+(J$50=Assumptions!$E$11-1)*Assumptions!$E$91+(J$50=Assumptions!$E$11)*Assumptions!$E$92)*(1+Assumptions!$E$189)^(J$50-2026)</f>
        <v/>
      </c>
      <c r="K79" s="21">
        <f>'Sources &amp; Uses'!$D$51*((K$50=Assumptions!$E$11-2)*Assumptions!$E$90+(K$50=Assumptions!$E$11-1)*Assumptions!$E$91+(K$50=Assumptions!$E$11)*Assumptions!$E$92)*(1+Assumptions!$E$189)^(K$50-2026)</f>
        <v/>
      </c>
      <c r="L79" s="21">
        <f>'Sources &amp; Uses'!$D$51*((L$50=Assumptions!$E$11-2)*Assumptions!$E$90+(L$50=Assumptions!$E$11-1)*Assumptions!$E$91+(L$50=Assumptions!$E$11)*Assumptions!$E$92)*(1+Assumptions!$E$189)^(L$50-2026)</f>
        <v/>
      </c>
      <c r="M79" s="21">
        <f>'Sources &amp; Uses'!$D$51*((M$50=Assumptions!$E$11-2)*Assumptions!$E$90+(M$50=Assumptions!$E$11-1)*Assumptions!$E$91+(M$50=Assumptions!$E$11)*Assumptions!$E$92)*(1+Assumptions!$E$189)^(M$50-2026)</f>
        <v/>
      </c>
      <c r="N79" s="47">
        <f>SUM(D79:M79)</f>
        <v/>
      </c>
      <c r="O79" s="47">
        <f>'Sources &amp; Uses'!$D$51</f>
        <v/>
      </c>
      <c r="P79" s="47">
        <f>N79-O79</f>
        <v/>
      </c>
    </row>
    <row r="80">
      <c r="A80" s="9" t="inlineStr">
        <is>
          <t>Listening room and gallery barn, 3,000 sf</t>
        </is>
      </c>
      <c r="B80" s="24" t="inlineStr">
        <is>
          <t>Phase 3</t>
        </is>
      </c>
      <c r="C80" s="24" t="inlineStr">
        <is>
          <t>Opening -2 to 0</t>
        </is>
      </c>
      <c r="D80" s="21">
        <f>'Sources &amp; Uses'!$D$52*((D$50=Assumptions!$E$11-2)*Assumptions!$E$90+(D$50=Assumptions!$E$11-1)*Assumptions!$E$91+(D$50=Assumptions!$E$11)*Assumptions!$E$92)*(1+Assumptions!$E$189)^(D$50-2026)</f>
        <v/>
      </c>
      <c r="E80" s="21">
        <f>'Sources &amp; Uses'!$D$52*((E$50=Assumptions!$E$11-2)*Assumptions!$E$90+(E$50=Assumptions!$E$11-1)*Assumptions!$E$91+(E$50=Assumptions!$E$11)*Assumptions!$E$92)*(1+Assumptions!$E$189)^(E$50-2026)</f>
        <v/>
      </c>
      <c r="F80" s="21">
        <f>'Sources &amp; Uses'!$D$52*((F$50=Assumptions!$E$11-2)*Assumptions!$E$90+(F$50=Assumptions!$E$11-1)*Assumptions!$E$91+(F$50=Assumptions!$E$11)*Assumptions!$E$92)*(1+Assumptions!$E$189)^(F$50-2026)</f>
        <v/>
      </c>
      <c r="G80" s="21">
        <f>'Sources &amp; Uses'!$D$52*((G$50=Assumptions!$E$11-2)*Assumptions!$E$90+(G$50=Assumptions!$E$11-1)*Assumptions!$E$91+(G$50=Assumptions!$E$11)*Assumptions!$E$92)*(1+Assumptions!$E$189)^(G$50-2026)</f>
        <v/>
      </c>
      <c r="H80" s="21">
        <f>'Sources &amp; Uses'!$D$52*((H$50=Assumptions!$E$11-2)*Assumptions!$E$90+(H$50=Assumptions!$E$11-1)*Assumptions!$E$91+(H$50=Assumptions!$E$11)*Assumptions!$E$92)*(1+Assumptions!$E$189)^(H$50-2026)</f>
        <v/>
      </c>
      <c r="I80" s="21">
        <f>'Sources &amp; Uses'!$D$52*((I$50=Assumptions!$E$11-2)*Assumptions!$E$90+(I$50=Assumptions!$E$11-1)*Assumptions!$E$91+(I$50=Assumptions!$E$11)*Assumptions!$E$92)*(1+Assumptions!$E$189)^(I$50-2026)</f>
        <v/>
      </c>
      <c r="J80" s="21">
        <f>'Sources &amp; Uses'!$D$52*((J$50=Assumptions!$E$11-2)*Assumptions!$E$90+(J$50=Assumptions!$E$11-1)*Assumptions!$E$91+(J$50=Assumptions!$E$11)*Assumptions!$E$92)*(1+Assumptions!$E$189)^(J$50-2026)</f>
        <v/>
      </c>
      <c r="K80" s="21">
        <f>'Sources &amp; Uses'!$D$52*((K$50=Assumptions!$E$11-2)*Assumptions!$E$90+(K$50=Assumptions!$E$11-1)*Assumptions!$E$91+(K$50=Assumptions!$E$11)*Assumptions!$E$92)*(1+Assumptions!$E$189)^(K$50-2026)</f>
        <v/>
      </c>
      <c r="L80" s="21">
        <f>'Sources &amp; Uses'!$D$52*((L$50=Assumptions!$E$11-2)*Assumptions!$E$90+(L$50=Assumptions!$E$11-1)*Assumptions!$E$91+(L$50=Assumptions!$E$11)*Assumptions!$E$92)*(1+Assumptions!$E$189)^(L$50-2026)</f>
        <v/>
      </c>
      <c r="M80" s="21">
        <f>'Sources &amp; Uses'!$D$52*((M$50=Assumptions!$E$11-2)*Assumptions!$E$90+(M$50=Assumptions!$E$11-1)*Assumptions!$E$91+(M$50=Assumptions!$E$11)*Assumptions!$E$92)*(1+Assumptions!$E$189)^(M$50-2026)</f>
        <v/>
      </c>
      <c r="N80" s="47">
        <f>SUM(D80:M80)</f>
        <v/>
      </c>
      <c r="O80" s="47">
        <f>'Sources &amp; Uses'!$D$52</f>
        <v/>
      </c>
      <c r="P80" s="47">
        <f>N80-O80</f>
        <v/>
      </c>
    </row>
    <row r="81">
      <c r="A81" s="9" t="inlineStr">
        <is>
          <t>Commercial kitchen in the gallery barn</t>
        </is>
      </c>
      <c r="B81" s="24" t="inlineStr">
        <is>
          <t>Phase 3</t>
        </is>
      </c>
      <c r="C81" s="24" t="inlineStr">
        <is>
          <t>Opening -2 to 0</t>
        </is>
      </c>
      <c r="D81" s="21">
        <f>'Sources &amp; Uses'!$D$53*((D$50=Assumptions!$E$11-2)*Assumptions!$E$90+(D$50=Assumptions!$E$11-1)*Assumptions!$E$91+(D$50=Assumptions!$E$11)*Assumptions!$E$92)*(1+Assumptions!$E$189)^(D$50-2026)</f>
        <v/>
      </c>
      <c r="E81" s="21">
        <f>'Sources &amp; Uses'!$D$53*((E$50=Assumptions!$E$11-2)*Assumptions!$E$90+(E$50=Assumptions!$E$11-1)*Assumptions!$E$91+(E$50=Assumptions!$E$11)*Assumptions!$E$92)*(1+Assumptions!$E$189)^(E$50-2026)</f>
        <v/>
      </c>
      <c r="F81" s="21">
        <f>'Sources &amp; Uses'!$D$53*((F$50=Assumptions!$E$11-2)*Assumptions!$E$90+(F$50=Assumptions!$E$11-1)*Assumptions!$E$91+(F$50=Assumptions!$E$11)*Assumptions!$E$92)*(1+Assumptions!$E$189)^(F$50-2026)</f>
        <v/>
      </c>
      <c r="G81" s="21">
        <f>'Sources &amp; Uses'!$D$53*((G$50=Assumptions!$E$11-2)*Assumptions!$E$90+(G$50=Assumptions!$E$11-1)*Assumptions!$E$91+(G$50=Assumptions!$E$11)*Assumptions!$E$92)*(1+Assumptions!$E$189)^(G$50-2026)</f>
        <v/>
      </c>
      <c r="H81" s="21">
        <f>'Sources &amp; Uses'!$D$53*((H$50=Assumptions!$E$11-2)*Assumptions!$E$90+(H$50=Assumptions!$E$11-1)*Assumptions!$E$91+(H$50=Assumptions!$E$11)*Assumptions!$E$92)*(1+Assumptions!$E$189)^(H$50-2026)</f>
        <v/>
      </c>
      <c r="I81" s="21">
        <f>'Sources &amp; Uses'!$D$53*((I$50=Assumptions!$E$11-2)*Assumptions!$E$90+(I$50=Assumptions!$E$11-1)*Assumptions!$E$91+(I$50=Assumptions!$E$11)*Assumptions!$E$92)*(1+Assumptions!$E$189)^(I$50-2026)</f>
        <v/>
      </c>
      <c r="J81" s="21">
        <f>'Sources &amp; Uses'!$D$53*((J$50=Assumptions!$E$11-2)*Assumptions!$E$90+(J$50=Assumptions!$E$11-1)*Assumptions!$E$91+(J$50=Assumptions!$E$11)*Assumptions!$E$92)*(1+Assumptions!$E$189)^(J$50-2026)</f>
        <v/>
      </c>
      <c r="K81" s="21">
        <f>'Sources &amp; Uses'!$D$53*((K$50=Assumptions!$E$11-2)*Assumptions!$E$90+(K$50=Assumptions!$E$11-1)*Assumptions!$E$91+(K$50=Assumptions!$E$11)*Assumptions!$E$92)*(1+Assumptions!$E$189)^(K$50-2026)</f>
        <v/>
      </c>
      <c r="L81" s="21">
        <f>'Sources &amp; Uses'!$D$53*((L$50=Assumptions!$E$11-2)*Assumptions!$E$90+(L$50=Assumptions!$E$11-1)*Assumptions!$E$91+(L$50=Assumptions!$E$11)*Assumptions!$E$92)*(1+Assumptions!$E$189)^(L$50-2026)</f>
        <v/>
      </c>
      <c r="M81" s="21">
        <f>'Sources &amp; Uses'!$D$53*((M$50=Assumptions!$E$11-2)*Assumptions!$E$90+(M$50=Assumptions!$E$11-1)*Assumptions!$E$91+(M$50=Assumptions!$E$11)*Assumptions!$E$92)*(1+Assumptions!$E$189)^(M$50-2026)</f>
        <v/>
      </c>
      <c r="N81" s="47">
        <f>SUM(D81:M81)</f>
        <v/>
      </c>
      <c r="O81" s="47">
        <f>'Sources &amp; Uses'!$D$53</f>
        <v/>
      </c>
      <c r="P81" s="47">
        <f>N81-O81</f>
        <v/>
      </c>
    </row>
    <row r="82">
      <c r="A82" s="9" t="inlineStr">
        <is>
          <t>Gallery contents (none budgeted)</t>
        </is>
      </c>
      <c r="B82" s="24" t="inlineStr">
        <is>
          <t>Phase 3</t>
        </is>
      </c>
      <c r="C82" s="24" t="inlineStr">
        <is>
          <t>Opening -1, 0</t>
        </is>
      </c>
      <c r="D82" s="21">
        <f>'Sources &amp; Uses'!$D$54*((D$50=Assumptions!$E$11-1)*Assumptions!$E$95+(D$50=Assumptions!$E$11)*Assumptions!$E$96)*(1+Assumptions!$E$189)^(D$50-2026)</f>
        <v/>
      </c>
      <c r="E82" s="21">
        <f>'Sources &amp; Uses'!$D$54*((E$50=Assumptions!$E$11-1)*Assumptions!$E$95+(E$50=Assumptions!$E$11)*Assumptions!$E$96)*(1+Assumptions!$E$189)^(E$50-2026)</f>
        <v/>
      </c>
      <c r="F82" s="21">
        <f>'Sources &amp; Uses'!$D$54*((F$50=Assumptions!$E$11-1)*Assumptions!$E$95+(F$50=Assumptions!$E$11)*Assumptions!$E$96)*(1+Assumptions!$E$189)^(F$50-2026)</f>
        <v/>
      </c>
      <c r="G82" s="21">
        <f>'Sources &amp; Uses'!$D$54*((G$50=Assumptions!$E$11-1)*Assumptions!$E$95+(G$50=Assumptions!$E$11)*Assumptions!$E$96)*(1+Assumptions!$E$189)^(G$50-2026)</f>
        <v/>
      </c>
      <c r="H82" s="21">
        <f>'Sources &amp; Uses'!$D$54*((H$50=Assumptions!$E$11-1)*Assumptions!$E$95+(H$50=Assumptions!$E$11)*Assumptions!$E$96)*(1+Assumptions!$E$189)^(H$50-2026)</f>
        <v/>
      </c>
      <c r="I82" s="21">
        <f>'Sources &amp; Uses'!$D$54*((I$50=Assumptions!$E$11-1)*Assumptions!$E$95+(I$50=Assumptions!$E$11)*Assumptions!$E$96)*(1+Assumptions!$E$189)^(I$50-2026)</f>
        <v/>
      </c>
      <c r="J82" s="21">
        <f>'Sources &amp; Uses'!$D$54*((J$50=Assumptions!$E$11-1)*Assumptions!$E$95+(J$50=Assumptions!$E$11)*Assumptions!$E$96)*(1+Assumptions!$E$189)^(J$50-2026)</f>
        <v/>
      </c>
      <c r="K82" s="21">
        <f>'Sources &amp; Uses'!$D$54*((K$50=Assumptions!$E$11-1)*Assumptions!$E$95+(K$50=Assumptions!$E$11)*Assumptions!$E$96)*(1+Assumptions!$E$189)^(K$50-2026)</f>
        <v/>
      </c>
      <c r="L82" s="21">
        <f>'Sources &amp; Uses'!$D$54*((L$50=Assumptions!$E$11-1)*Assumptions!$E$95+(L$50=Assumptions!$E$11)*Assumptions!$E$96)*(1+Assumptions!$E$189)^(L$50-2026)</f>
        <v/>
      </c>
      <c r="M82" s="21">
        <f>'Sources &amp; Uses'!$D$54*((M$50=Assumptions!$E$11-1)*Assumptions!$E$95+(M$50=Assumptions!$E$11)*Assumptions!$E$96)*(1+Assumptions!$E$189)^(M$50-2026)</f>
        <v/>
      </c>
      <c r="N82" s="47">
        <f>SUM(D82:M82)</f>
        <v/>
      </c>
      <c r="O82" s="47">
        <f>'Sources &amp; Uses'!$D$54</f>
        <v/>
      </c>
      <c r="P82" s="47">
        <f>N82-O82</f>
        <v/>
      </c>
    </row>
    <row r="83">
      <c r="A83" s="9" t="inlineStr">
        <is>
          <t>Landscaping and artwork, the rest (incl. the commissioned works)</t>
        </is>
      </c>
      <c r="B83" s="24" t="inlineStr">
        <is>
          <t>Phase 3</t>
        </is>
      </c>
      <c r="C83" s="24" t="inlineStr">
        <is>
          <t>Opening -2 to 0</t>
        </is>
      </c>
      <c r="D83" s="21">
        <f>'Sources &amp; Uses'!$D$55*((D$50=Assumptions!$E$11-2)*Assumptions!$E$90+(D$50=Assumptions!$E$11-1)*Assumptions!$E$91+(D$50=Assumptions!$E$11)*Assumptions!$E$92)*(1+Assumptions!$E$189)^(D$50-2026)</f>
        <v/>
      </c>
      <c r="E83" s="21">
        <f>'Sources &amp; Uses'!$D$55*((E$50=Assumptions!$E$11-2)*Assumptions!$E$90+(E$50=Assumptions!$E$11-1)*Assumptions!$E$91+(E$50=Assumptions!$E$11)*Assumptions!$E$92)*(1+Assumptions!$E$189)^(E$50-2026)</f>
        <v/>
      </c>
      <c r="F83" s="21">
        <f>'Sources &amp; Uses'!$D$55*((F$50=Assumptions!$E$11-2)*Assumptions!$E$90+(F$50=Assumptions!$E$11-1)*Assumptions!$E$91+(F$50=Assumptions!$E$11)*Assumptions!$E$92)*(1+Assumptions!$E$189)^(F$50-2026)</f>
        <v/>
      </c>
      <c r="G83" s="21">
        <f>'Sources &amp; Uses'!$D$55*((G$50=Assumptions!$E$11-2)*Assumptions!$E$90+(G$50=Assumptions!$E$11-1)*Assumptions!$E$91+(G$50=Assumptions!$E$11)*Assumptions!$E$92)*(1+Assumptions!$E$189)^(G$50-2026)</f>
        <v/>
      </c>
      <c r="H83" s="21">
        <f>'Sources &amp; Uses'!$D$55*((H$50=Assumptions!$E$11-2)*Assumptions!$E$90+(H$50=Assumptions!$E$11-1)*Assumptions!$E$91+(H$50=Assumptions!$E$11)*Assumptions!$E$92)*(1+Assumptions!$E$189)^(H$50-2026)</f>
        <v/>
      </c>
      <c r="I83" s="21">
        <f>'Sources &amp; Uses'!$D$55*((I$50=Assumptions!$E$11-2)*Assumptions!$E$90+(I$50=Assumptions!$E$11-1)*Assumptions!$E$91+(I$50=Assumptions!$E$11)*Assumptions!$E$92)*(1+Assumptions!$E$189)^(I$50-2026)</f>
        <v/>
      </c>
      <c r="J83" s="21">
        <f>'Sources &amp; Uses'!$D$55*((J$50=Assumptions!$E$11-2)*Assumptions!$E$90+(J$50=Assumptions!$E$11-1)*Assumptions!$E$91+(J$50=Assumptions!$E$11)*Assumptions!$E$92)*(1+Assumptions!$E$189)^(J$50-2026)</f>
        <v/>
      </c>
      <c r="K83" s="21">
        <f>'Sources &amp; Uses'!$D$55*((K$50=Assumptions!$E$11-2)*Assumptions!$E$90+(K$50=Assumptions!$E$11-1)*Assumptions!$E$91+(K$50=Assumptions!$E$11)*Assumptions!$E$92)*(1+Assumptions!$E$189)^(K$50-2026)</f>
        <v/>
      </c>
      <c r="L83" s="21">
        <f>'Sources &amp; Uses'!$D$55*((L$50=Assumptions!$E$11-2)*Assumptions!$E$90+(L$50=Assumptions!$E$11-1)*Assumptions!$E$91+(L$50=Assumptions!$E$11)*Assumptions!$E$92)*(1+Assumptions!$E$189)^(L$50-2026)</f>
        <v/>
      </c>
      <c r="M83" s="21">
        <f>'Sources &amp; Uses'!$D$55*((M$50=Assumptions!$E$11-2)*Assumptions!$E$90+(M$50=Assumptions!$E$11-1)*Assumptions!$E$91+(M$50=Assumptions!$E$11)*Assumptions!$E$92)*(1+Assumptions!$E$189)^(M$50-2026)</f>
        <v/>
      </c>
      <c r="N83" s="47">
        <f>SUM(D83:M83)</f>
        <v/>
      </c>
      <c r="O83" s="47">
        <f>'Sources &amp; Uses'!$D$55</f>
        <v/>
      </c>
      <c r="P83" s="47">
        <f>N83-O83</f>
        <v/>
      </c>
    </row>
    <row r="84">
      <c r="A84" s="9" t="inlineStr">
        <is>
          <t>FF&amp;E, Phase 3 share</t>
        </is>
      </c>
      <c r="B84" s="24" t="inlineStr">
        <is>
          <t>Phase 3</t>
        </is>
      </c>
      <c r="C84" s="24" t="inlineStr">
        <is>
          <t>Opening year</t>
        </is>
      </c>
      <c r="D84" s="21">
        <f>'Sources &amp; Uses'!$D$56*(D$50=Assumptions!$E$11)*(1+Assumptions!$E$189)^(D$50-2026)</f>
        <v/>
      </c>
      <c r="E84" s="21">
        <f>'Sources &amp; Uses'!$D$56*(E$50=Assumptions!$E$11)*(1+Assumptions!$E$189)^(E$50-2026)</f>
        <v/>
      </c>
      <c r="F84" s="21">
        <f>'Sources &amp; Uses'!$D$56*(F$50=Assumptions!$E$11)*(1+Assumptions!$E$189)^(F$50-2026)</f>
        <v/>
      </c>
      <c r="G84" s="21">
        <f>'Sources &amp; Uses'!$D$56*(G$50=Assumptions!$E$11)*(1+Assumptions!$E$189)^(G$50-2026)</f>
        <v/>
      </c>
      <c r="H84" s="21">
        <f>'Sources &amp; Uses'!$D$56*(H$50=Assumptions!$E$11)*(1+Assumptions!$E$189)^(H$50-2026)</f>
        <v/>
      </c>
      <c r="I84" s="21">
        <f>'Sources &amp; Uses'!$D$56*(I$50=Assumptions!$E$11)*(1+Assumptions!$E$189)^(I$50-2026)</f>
        <v/>
      </c>
      <c r="J84" s="21">
        <f>'Sources &amp; Uses'!$D$56*(J$50=Assumptions!$E$11)*(1+Assumptions!$E$189)^(J$50-2026)</f>
        <v/>
      </c>
      <c r="K84" s="21">
        <f>'Sources &amp; Uses'!$D$56*(K$50=Assumptions!$E$11)*(1+Assumptions!$E$189)^(K$50-2026)</f>
        <v/>
      </c>
      <c r="L84" s="21">
        <f>'Sources &amp; Uses'!$D$56*(L$50=Assumptions!$E$11)*(1+Assumptions!$E$189)^(L$50-2026)</f>
        <v/>
      </c>
      <c r="M84" s="21">
        <f>'Sources &amp; Uses'!$D$56*(M$50=Assumptions!$E$11)*(1+Assumptions!$E$189)^(M$50-2026)</f>
        <v/>
      </c>
      <c r="N84" s="47">
        <f>SUM(D84:M84)</f>
        <v/>
      </c>
      <c r="O84" s="47">
        <f>'Sources &amp; Uses'!$D$56</f>
        <v/>
      </c>
      <c r="P84" s="47">
        <f>N84-O84</f>
        <v/>
      </c>
    </row>
    <row r="85">
      <c r="A85" s="9" t="inlineStr">
        <is>
          <t>Soft costs, Phase 3</t>
        </is>
      </c>
      <c r="B85" s="24" t="inlineStr">
        <is>
          <t>Phase 3</t>
        </is>
      </c>
      <c r="C85" s="24" t="inlineStr">
        <is>
          <t>Opening -2 to 0</t>
        </is>
      </c>
      <c r="D85" s="21">
        <f>'Sources &amp; Uses'!$D$57*((D$50=Assumptions!$E$11-2)*Assumptions!$E$84+(D$50=Assumptions!$E$11-1)*Assumptions!$E$85+(D$50=Assumptions!$E$11)*Assumptions!$E$86)*(1+Assumptions!$E$189)^(D$50-2026)</f>
        <v/>
      </c>
      <c r="E85" s="21">
        <f>'Sources &amp; Uses'!$D$57*((E$50=Assumptions!$E$11-2)*Assumptions!$E$84+(E$50=Assumptions!$E$11-1)*Assumptions!$E$85+(E$50=Assumptions!$E$11)*Assumptions!$E$86)*(1+Assumptions!$E$189)^(E$50-2026)</f>
        <v/>
      </c>
      <c r="F85" s="21">
        <f>'Sources &amp; Uses'!$D$57*((F$50=Assumptions!$E$11-2)*Assumptions!$E$84+(F$50=Assumptions!$E$11-1)*Assumptions!$E$85+(F$50=Assumptions!$E$11)*Assumptions!$E$86)*(1+Assumptions!$E$189)^(F$50-2026)</f>
        <v/>
      </c>
      <c r="G85" s="21">
        <f>'Sources &amp; Uses'!$D$57*((G$50=Assumptions!$E$11-2)*Assumptions!$E$84+(G$50=Assumptions!$E$11-1)*Assumptions!$E$85+(G$50=Assumptions!$E$11)*Assumptions!$E$86)*(1+Assumptions!$E$189)^(G$50-2026)</f>
        <v/>
      </c>
      <c r="H85" s="21">
        <f>'Sources &amp; Uses'!$D$57*((H$50=Assumptions!$E$11-2)*Assumptions!$E$84+(H$50=Assumptions!$E$11-1)*Assumptions!$E$85+(H$50=Assumptions!$E$11)*Assumptions!$E$86)*(1+Assumptions!$E$189)^(H$50-2026)</f>
        <v/>
      </c>
      <c r="I85" s="21">
        <f>'Sources &amp; Uses'!$D$57*((I$50=Assumptions!$E$11-2)*Assumptions!$E$84+(I$50=Assumptions!$E$11-1)*Assumptions!$E$85+(I$50=Assumptions!$E$11)*Assumptions!$E$86)*(1+Assumptions!$E$189)^(I$50-2026)</f>
        <v/>
      </c>
      <c r="J85" s="21">
        <f>'Sources &amp; Uses'!$D$57*((J$50=Assumptions!$E$11-2)*Assumptions!$E$84+(J$50=Assumptions!$E$11-1)*Assumptions!$E$85+(J$50=Assumptions!$E$11)*Assumptions!$E$86)*(1+Assumptions!$E$189)^(J$50-2026)</f>
        <v/>
      </c>
      <c r="K85" s="21">
        <f>'Sources &amp; Uses'!$D$57*((K$50=Assumptions!$E$11-2)*Assumptions!$E$84+(K$50=Assumptions!$E$11-1)*Assumptions!$E$85+(K$50=Assumptions!$E$11)*Assumptions!$E$86)*(1+Assumptions!$E$189)^(K$50-2026)</f>
        <v/>
      </c>
      <c r="L85" s="21">
        <f>'Sources &amp; Uses'!$D$57*((L$50=Assumptions!$E$11-2)*Assumptions!$E$84+(L$50=Assumptions!$E$11-1)*Assumptions!$E$85+(L$50=Assumptions!$E$11)*Assumptions!$E$86)*(1+Assumptions!$E$189)^(L$50-2026)</f>
        <v/>
      </c>
      <c r="M85" s="21">
        <f>'Sources &amp; Uses'!$D$57*((M$50=Assumptions!$E$11-2)*Assumptions!$E$84+(M$50=Assumptions!$E$11-1)*Assumptions!$E$85+(M$50=Assumptions!$E$11)*Assumptions!$E$86)*(1+Assumptions!$E$189)^(M$50-2026)</f>
        <v/>
      </c>
      <c r="N85" s="47">
        <f>SUM(D85:M85)</f>
        <v/>
      </c>
      <c r="O85" s="47">
        <f>'Sources &amp; Uses'!$D$57</f>
        <v/>
      </c>
      <c r="P85" s="47">
        <f>N85-O85</f>
        <v/>
      </c>
    </row>
    <row r="86">
      <c r="A86" s="9" t="inlineStr">
        <is>
          <t>Contingency, Phase 3</t>
        </is>
      </c>
      <c r="B86" s="24" t="inlineStr">
        <is>
          <t>Phase 3</t>
        </is>
      </c>
      <c r="C86" s="24" t="inlineStr">
        <is>
          <t>Opening -2 to 0</t>
        </is>
      </c>
      <c r="D86" s="21">
        <f>'Sources &amp; Uses'!$D$58*((D$50=Assumptions!$E$11-2)*Assumptions!$E$90+(D$50=Assumptions!$E$11-1)*Assumptions!$E$91+(D$50=Assumptions!$E$11)*Assumptions!$E$92)*(1+Assumptions!$E$189)^(D$50-2026)</f>
        <v/>
      </c>
      <c r="E86" s="21">
        <f>'Sources &amp; Uses'!$D$58*((E$50=Assumptions!$E$11-2)*Assumptions!$E$90+(E$50=Assumptions!$E$11-1)*Assumptions!$E$91+(E$50=Assumptions!$E$11)*Assumptions!$E$92)*(1+Assumptions!$E$189)^(E$50-2026)</f>
        <v/>
      </c>
      <c r="F86" s="21">
        <f>'Sources &amp; Uses'!$D$58*((F$50=Assumptions!$E$11-2)*Assumptions!$E$90+(F$50=Assumptions!$E$11-1)*Assumptions!$E$91+(F$50=Assumptions!$E$11)*Assumptions!$E$92)*(1+Assumptions!$E$189)^(F$50-2026)</f>
        <v/>
      </c>
      <c r="G86" s="21">
        <f>'Sources &amp; Uses'!$D$58*((G$50=Assumptions!$E$11-2)*Assumptions!$E$90+(G$50=Assumptions!$E$11-1)*Assumptions!$E$91+(G$50=Assumptions!$E$11)*Assumptions!$E$92)*(1+Assumptions!$E$189)^(G$50-2026)</f>
        <v/>
      </c>
      <c r="H86" s="21">
        <f>'Sources &amp; Uses'!$D$58*((H$50=Assumptions!$E$11-2)*Assumptions!$E$90+(H$50=Assumptions!$E$11-1)*Assumptions!$E$91+(H$50=Assumptions!$E$11)*Assumptions!$E$92)*(1+Assumptions!$E$189)^(H$50-2026)</f>
        <v/>
      </c>
      <c r="I86" s="21">
        <f>'Sources &amp; Uses'!$D$58*((I$50=Assumptions!$E$11-2)*Assumptions!$E$90+(I$50=Assumptions!$E$11-1)*Assumptions!$E$91+(I$50=Assumptions!$E$11)*Assumptions!$E$92)*(1+Assumptions!$E$189)^(I$50-2026)</f>
        <v/>
      </c>
      <c r="J86" s="21">
        <f>'Sources &amp; Uses'!$D$58*((J$50=Assumptions!$E$11-2)*Assumptions!$E$90+(J$50=Assumptions!$E$11-1)*Assumptions!$E$91+(J$50=Assumptions!$E$11)*Assumptions!$E$92)*(1+Assumptions!$E$189)^(J$50-2026)</f>
        <v/>
      </c>
      <c r="K86" s="21">
        <f>'Sources &amp; Uses'!$D$58*((K$50=Assumptions!$E$11-2)*Assumptions!$E$90+(K$50=Assumptions!$E$11-1)*Assumptions!$E$91+(K$50=Assumptions!$E$11)*Assumptions!$E$92)*(1+Assumptions!$E$189)^(K$50-2026)</f>
        <v/>
      </c>
      <c r="L86" s="21">
        <f>'Sources &amp; Uses'!$D$58*((L$50=Assumptions!$E$11-2)*Assumptions!$E$90+(L$50=Assumptions!$E$11-1)*Assumptions!$E$91+(L$50=Assumptions!$E$11)*Assumptions!$E$92)*(1+Assumptions!$E$189)^(L$50-2026)</f>
        <v/>
      </c>
      <c r="M86" s="21">
        <f>'Sources &amp; Uses'!$D$58*((M$50=Assumptions!$E$11-2)*Assumptions!$E$90+(M$50=Assumptions!$E$11-1)*Assumptions!$E$91+(M$50=Assumptions!$E$11)*Assumptions!$E$92)*(1+Assumptions!$E$189)^(M$50-2026)</f>
        <v/>
      </c>
      <c r="N86" s="47">
        <f>SUM(D86:M86)</f>
        <v/>
      </c>
      <c r="O86" s="47">
        <f>'Sources &amp; Uses'!$D$58</f>
        <v/>
      </c>
      <c r="P86" s="47">
        <f>N86-O86</f>
        <v/>
      </c>
    </row>
    <row r="87">
      <c r="A87" s="9" t="inlineStr">
        <is>
          <t>Development-period overhead until Phase 1 opens</t>
        </is>
      </c>
      <c r="B87" s="24" t="inlineStr">
        <is>
          <t>Pre-opening</t>
        </is>
      </c>
      <c r="C87" s="24" t="inlineStr">
        <is>
          <t>Each year before Phase 1</t>
        </is>
      </c>
      <c r="D87" s="21">
        <f>Assumptions!$E$72*(D$50&gt;=Assumptions!$E$8)*(D$50&lt;Assumptions!$E$9)*(1+Assumptions!$E$189)^(D$50-2026)</f>
        <v/>
      </c>
      <c r="E87" s="21">
        <f>Assumptions!$E$72*(E$50&gt;=Assumptions!$E$8)*(E$50&lt;Assumptions!$E$9)*(1+Assumptions!$E$189)^(E$50-2026)</f>
        <v/>
      </c>
      <c r="F87" s="21">
        <f>Assumptions!$E$72*(F$50&gt;=Assumptions!$E$8)*(F$50&lt;Assumptions!$E$9)*(1+Assumptions!$E$189)^(F$50-2026)</f>
        <v/>
      </c>
      <c r="G87" s="21">
        <f>Assumptions!$E$72*(G$50&gt;=Assumptions!$E$8)*(G$50&lt;Assumptions!$E$9)*(1+Assumptions!$E$189)^(G$50-2026)</f>
        <v/>
      </c>
      <c r="H87" s="21">
        <f>Assumptions!$E$72*(H$50&gt;=Assumptions!$E$8)*(H$50&lt;Assumptions!$E$9)*(1+Assumptions!$E$189)^(H$50-2026)</f>
        <v/>
      </c>
      <c r="I87" s="21">
        <f>Assumptions!$E$72*(I$50&gt;=Assumptions!$E$8)*(I$50&lt;Assumptions!$E$9)*(1+Assumptions!$E$189)^(I$50-2026)</f>
        <v/>
      </c>
      <c r="J87" s="21">
        <f>Assumptions!$E$72*(J$50&gt;=Assumptions!$E$8)*(J$50&lt;Assumptions!$E$9)*(1+Assumptions!$E$189)^(J$50-2026)</f>
        <v/>
      </c>
      <c r="K87" s="21">
        <f>Assumptions!$E$72*(K$50&gt;=Assumptions!$E$8)*(K$50&lt;Assumptions!$E$9)*(1+Assumptions!$E$189)^(K$50-2026)</f>
        <v/>
      </c>
      <c r="L87" s="21">
        <f>Assumptions!$E$72*(L$50&gt;=Assumptions!$E$8)*(L$50&lt;Assumptions!$E$9)*(1+Assumptions!$E$189)^(L$50-2026)</f>
        <v/>
      </c>
      <c r="M87" s="21">
        <f>Assumptions!$E$72*(M$50&gt;=Assumptions!$E$8)*(M$50&lt;Assumptions!$E$9)*(1+Assumptions!$E$189)^(M$50-2026)</f>
        <v/>
      </c>
      <c r="N87" s="47">
        <f>SUM(D87:M87)</f>
        <v/>
      </c>
      <c r="O87" s="47">
        <f>'Sources &amp; Uses'!$D$62</f>
        <v/>
      </c>
      <c r="P87" s="47">
        <f>N87-O87</f>
        <v/>
      </c>
    </row>
    <row r="88">
      <c r="A88" s="9" t="inlineStr">
        <is>
          <t>Pre-opening, Phase 1 (hiring, training, launch, supplies)</t>
        </is>
      </c>
      <c r="B88" s="24" t="inlineStr">
        <is>
          <t>Pre-opening</t>
        </is>
      </c>
      <c r="C88" s="24" t="inlineStr">
        <is>
          <t>Opening year</t>
        </is>
      </c>
      <c r="D88" s="21">
        <f>'Sources &amp; Uses'!$D$63*(D$50=Assumptions!$E$9)*(1+Assumptions!$E$189)^(D$50-2026)</f>
        <v/>
      </c>
      <c r="E88" s="21">
        <f>'Sources &amp; Uses'!$D$63*(E$50=Assumptions!$E$9)*(1+Assumptions!$E$189)^(E$50-2026)</f>
        <v/>
      </c>
      <c r="F88" s="21">
        <f>'Sources &amp; Uses'!$D$63*(F$50=Assumptions!$E$9)*(1+Assumptions!$E$189)^(F$50-2026)</f>
        <v/>
      </c>
      <c r="G88" s="21">
        <f>'Sources &amp; Uses'!$D$63*(G$50=Assumptions!$E$9)*(1+Assumptions!$E$189)^(G$50-2026)</f>
        <v/>
      </c>
      <c r="H88" s="21">
        <f>'Sources &amp; Uses'!$D$63*(H$50=Assumptions!$E$9)*(1+Assumptions!$E$189)^(H$50-2026)</f>
        <v/>
      </c>
      <c r="I88" s="21">
        <f>'Sources &amp; Uses'!$D$63*(I$50=Assumptions!$E$9)*(1+Assumptions!$E$189)^(I$50-2026)</f>
        <v/>
      </c>
      <c r="J88" s="21">
        <f>'Sources &amp; Uses'!$D$63*(J$50=Assumptions!$E$9)*(1+Assumptions!$E$189)^(J$50-2026)</f>
        <v/>
      </c>
      <c r="K88" s="21">
        <f>'Sources &amp; Uses'!$D$63*(K$50=Assumptions!$E$9)*(1+Assumptions!$E$189)^(K$50-2026)</f>
        <v/>
      </c>
      <c r="L88" s="21">
        <f>'Sources &amp; Uses'!$D$63*(L$50=Assumptions!$E$9)*(1+Assumptions!$E$189)^(L$50-2026)</f>
        <v/>
      </c>
      <c r="M88" s="21">
        <f>'Sources &amp; Uses'!$D$63*(M$50=Assumptions!$E$9)*(1+Assumptions!$E$189)^(M$50-2026)</f>
        <v/>
      </c>
      <c r="N88" s="47">
        <f>SUM(D88:M88)</f>
        <v/>
      </c>
      <c r="O88" s="47">
        <f>'Sources &amp; Uses'!$D$63</f>
        <v/>
      </c>
      <c r="P88" s="47">
        <f>N88-O88</f>
        <v/>
      </c>
    </row>
    <row r="89">
      <c r="A89" s="9" t="inlineStr">
        <is>
          <t>Pre-opening, Phase 2</t>
        </is>
      </c>
      <c r="B89" s="24" t="inlineStr">
        <is>
          <t>Pre-opening</t>
        </is>
      </c>
      <c r="C89" s="24" t="inlineStr">
        <is>
          <t>Opening year</t>
        </is>
      </c>
      <c r="D89" s="21">
        <f>'Sources &amp; Uses'!$D$64*(D$50=Assumptions!$E$10)*(1+Assumptions!$E$189)^(D$50-2026)</f>
        <v/>
      </c>
      <c r="E89" s="21">
        <f>'Sources &amp; Uses'!$D$64*(E$50=Assumptions!$E$10)*(1+Assumptions!$E$189)^(E$50-2026)</f>
        <v/>
      </c>
      <c r="F89" s="21">
        <f>'Sources &amp; Uses'!$D$64*(F$50=Assumptions!$E$10)*(1+Assumptions!$E$189)^(F$50-2026)</f>
        <v/>
      </c>
      <c r="G89" s="21">
        <f>'Sources &amp; Uses'!$D$64*(G$50=Assumptions!$E$10)*(1+Assumptions!$E$189)^(G$50-2026)</f>
        <v/>
      </c>
      <c r="H89" s="21">
        <f>'Sources &amp; Uses'!$D$64*(H$50=Assumptions!$E$10)*(1+Assumptions!$E$189)^(H$50-2026)</f>
        <v/>
      </c>
      <c r="I89" s="21">
        <f>'Sources &amp; Uses'!$D$64*(I$50=Assumptions!$E$10)*(1+Assumptions!$E$189)^(I$50-2026)</f>
        <v/>
      </c>
      <c r="J89" s="21">
        <f>'Sources &amp; Uses'!$D$64*(J$50=Assumptions!$E$10)*(1+Assumptions!$E$189)^(J$50-2026)</f>
        <v/>
      </c>
      <c r="K89" s="21">
        <f>'Sources &amp; Uses'!$D$64*(K$50=Assumptions!$E$10)*(1+Assumptions!$E$189)^(K$50-2026)</f>
        <v/>
      </c>
      <c r="L89" s="21">
        <f>'Sources &amp; Uses'!$D$64*(L$50=Assumptions!$E$10)*(1+Assumptions!$E$189)^(L$50-2026)</f>
        <v/>
      </c>
      <c r="M89" s="21">
        <f>'Sources &amp; Uses'!$D$64*(M$50=Assumptions!$E$10)*(1+Assumptions!$E$189)^(M$50-2026)</f>
        <v/>
      </c>
      <c r="N89" s="47">
        <f>SUM(D89:M89)</f>
        <v/>
      </c>
      <c r="O89" s="47">
        <f>'Sources &amp; Uses'!$D$64</f>
        <v/>
      </c>
      <c r="P89" s="47">
        <f>N89-O89</f>
        <v/>
      </c>
    </row>
    <row r="90">
      <c r="A90" s="9" t="inlineStr">
        <is>
          <t>Pre-opening, Phase 3</t>
        </is>
      </c>
      <c r="B90" s="24" t="inlineStr">
        <is>
          <t>Pre-opening</t>
        </is>
      </c>
      <c r="C90" s="24" t="inlineStr">
        <is>
          <t>Opening year</t>
        </is>
      </c>
      <c r="D90" s="21">
        <f>'Sources &amp; Uses'!$D$65*(D$50=Assumptions!$E$11)*(1+Assumptions!$E$189)^(D$50-2026)</f>
        <v/>
      </c>
      <c r="E90" s="21">
        <f>'Sources &amp; Uses'!$D$65*(E$50=Assumptions!$E$11)*(1+Assumptions!$E$189)^(E$50-2026)</f>
        <v/>
      </c>
      <c r="F90" s="21">
        <f>'Sources &amp; Uses'!$D$65*(F$50=Assumptions!$E$11)*(1+Assumptions!$E$189)^(F$50-2026)</f>
        <v/>
      </c>
      <c r="G90" s="21">
        <f>'Sources &amp; Uses'!$D$65*(G$50=Assumptions!$E$11)*(1+Assumptions!$E$189)^(G$50-2026)</f>
        <v/>
      </c>
      <c r="H90" s="21">
        <f>'Sources &amp; Uses'!$D$65*(H$50=Assumptions!$E$11)*(1+Assumptions!$E$189)^(H$50-2026)</f>
        <v/>
      </c>
      <c r="I90" s="21">
        <f>'Sources &amp; Uses'!$D$65*(I$50=Assumptions!$E$11)*(1+Assumptions!$E$189)^(I$50-2026)</f>
        <v/>
      </c>
      <c r="J90" s="21">
        <f>'Sources &amp; Uses'!$D$65*(J$50=Assumptions!$E$11)*(1+Assumptions!$E$189)^(J$50-2026)</f>
        <v/>
      </c>
      <c r="K90" s="21">
        <f>'Sources &amp; Uses'!$D$65*(K$50=Assumptions!$E$11)*(1+Assumptions!$E$189)^(K$50-2026)</f>
        <v/>
      </c>
      <c r="L90" s="21">
        <f>'Sources &amp; Uses'!$D$65*(L$50=Assumptions!$E$11)*(1+Assumptions!$E$189)^(L$50-2026)</f>
        <v/>
      </c>
      <c r="M90" s="21">
        <f>'Sources &amp; Uses'!$D$65*(M$50=Assumptions!$E$11)*(1+Assumptions!$E$189)^(M$50-2026)</f>
        <v/>
      </c>
      <c r="N90" s="47">
        <f>SUM(D90:M90)</f>
        <v/>
      </c>
      <c r="O90" s="47">
        <f>'Sources &amp; Uses'!$D$65</f>
        <v/>
      </c>
      <c r="P90" s="47">
        <f>N90-O90</f>
        <v/>
      </c>
    </row>
    <row r="91">
      <c r="A91" s="48" t="inlineStr">
        <is>
          <t>TOTAL CAPITAL AND PRE-OPENING USES</t>
        </is>
      </c>
      <c r="B91" s="49" t="n"/>
      <c r="C91" s="49" t="n"/>
      <c r="D91" s="50">
        <f>SUM(D51:D90)</f>
        <v/>
      </c>
      <c r="E91" s="50">
        <f>SUM(E51:E90)</f>
        <v/>
      </c>
      <c r="F91" s="50">
        <f>SUM(F51:F90)</f>
        <v/>
      </c>
      <c r="G91" s="50">
        <f>SUM(G51:G90)</f>
        <v/>
      </c>
      <c r="H91" s="50">
        <f>SUM(H51:H90)</f>
        <v/>
      </c>
      <c r="I91" s="50">
        <f>SUM(I51:I90)</f>
        <v/>
      </c>
      <c r="J91" s="50">
        <f>SUM(J51:J90)</f>
        <v/>
      </c>
      <c r="K91" s="50">
        <f>SUM(K51:K90)</f>
        <v/>
      </c>
      <c r="L91" s="50">
        <f>SUM(L51:L90)</f>
        <v/>
      </c>
      <c r="M91" s="50">
        <f>SUM(M51:M90)</f>
        <v/>
      </c>
      <c r="N91" s="50">
        <f>SUM(N51:N90)</f>
        <v/>
      </c>
      <c r="O91" s="50">
        <f>SUM(O51:O90)</f>
        <v/>
      </c>
      <c r="P91" s="50">
        <f>SUM(P51:P90)</f>
        <v/>
      </c>
    </row>
    <row r="94">
      <c r="A94" s="46" t="inlineStr">
        <is>
          <t>HIGH  -  Full Bastion: 12 cabins on 50 acres and USD 2M of land, Mid California prices with our cost-down choices, a harder parcel, strong demand</t>
        </is>
      </c>
    </row>
    <row r="95">
      <c r="A95" s="3" t="inlineStr">
        <is>
          <t>Item</t>
        </is>
      </c>
      <c r="B95" s="4" t="inlineStr">
        <is>
          <t>Phase</t>
        </is>
      </c>
      <c r="C95" s="4" t="inlineStr">
        <is>
          <t>Timing</t>
        </is>
      </c>
      <c r="D95" s="4" t="n">
        <v>2027</v>
      </c>
      <c r="E95" s="4" t="n">
        <v>2028</v>
      </c>
      <c r="F95" s="4" t="n">
        <v>2029</v>
      </c>
      <c r="G95" s="4" t="n">
        <v>2030</v>
      </c>
      <c r="H95" s="4" t="n">
        <v>2031</v>
      </c>
      <c r="I95" s="4" t="n">
        <v>2032</v>
      </c>
      <c r="J95" s="4" t="n">
        <v>2033</v>
      </c>
      <c r="K95" s="4" t="n">
        <v>2034</v>
      </c>
      <c r="L95" s="4" t="n">
        <v>2035</v>
      </c>
      <c r="M95" s="4" t="n">
        <v>2036</v>
      </c>
      <c r="N95" s="4" t="inlineStr">
        <is>
          <t>Total</t>
        </is>
      </c>
      <c r="O95" s="4" t="inlineStr">
        <is>
          <t>S&amp;U amount</t>
        </is>
      </c>
      <c r="P95" s="4" t="inlineStr">
        <is>
          <t>Check</t>
        </is>
      </c>
    </row>
    <row r="96">
      <c r="A96" s="9" t="inlineStr">
        <is>
          <t>Pre-construction approvals: due diligence, studies, camp CUP, CEQA, attorney</t>
        </is>
      </c>
      <c r="B96" s="24" t="inlineStr">
        <is>
          <t>Stage 0</t>
        </is>
      </c>
      <c r="C96" s="24" t="inlineStr">
        <is>
          <t>Land year to +1</t>
        </is>
      </c>
      <c r="D96" s="21">
        <f>'Sources &amp; Uses'!$F$17*((D$95=Assumptions!$G$8)*Assumptions!$G$75+(D$95=Assumptions!$G$8+1)*Assumptions!$G$76+(D$95=Assumptions!$G$8+2)*Assumptions!$G$77+(D$95=Assumptions!$G$8+3)*Assumptions!$G$78)*(1+Assumptions!$G$189)^(D$95-2026)</f>
        <v/>
      </c>
      <c r="E96" s="21">
        <f>'Sources &amp; Uses'!$F$17*((E$95=Assumptions!$G$8)*Assumptions!$G$75+(E$95=Assumptions!$G$8+1)*Assumptions!$G$76+(E$95=Assumptions!$G$8+2)*Assumptions!$G$77+(E$95=Assumptions!$G$8+3)*Assumptions!$G$78)*(1+Assumptions!$G$189)^(E$95-2026)</f>
        <v/>
      </c>
      <c r="F96" s="21">
        <f>'Sources &amp; Uses'!$F$17*((F$95=Assumptions!$G$8)*Assumptions!$G$75+(F$95=Assumptions!$G$8+1)*Assumptions!$G$76+(F$95=Assumptions!$G$8+2)*Assumptions!$G$77+(F$95=Assumptions!$G$8+3)*Assumptions!$G$78)*(1+Assumptions!$G$189)^(F$95-2026)</f>
        <v/>
      </c>
      <c r="G96" s="21">
        <f>'Sources &amp; Uses'!$F$17*((G$95=Assumptions!$G$8)*Assumptions!$G$75+(G$95=Assumptions!$G$8+1)*Assumptions!$G$76+(G$95=Assumptions!$G$8+2)*Assumptions!$G$77+(G$95=Assumptions!$G$8+3)*Assumptions!$G$78)*(1+Assumptions!$G$189)^(G$95-2026)</f>
        <v/>
      </c>
      <c r="H96" s="21">
        <f>'Sources &amp; Uses'!$F$17*((H$95=Assumptions!$G$8)*Assumptions!$G$75+(H$95=Assumptions!$G$8+1)*Assumptions!$G$76+(H$95=Assumptions!$G$8+2)*Assumptions!$G$77+(H$95=Assumptions!$G$8+3)*Assumptions!$G$78)*(1+Assumptions!$G$189)^(H$95-2026)</f>
        <v/>
      </c>
      <c r="I96" s="21">
        <f>'Sources &amp; Uses'!$F$17*((I$95=Assumptions!$G$8)*Assumptions!$G$75+(I$95=Assumptions!$G$8+1)*Assumptions!$G$76+(I$95=Assumptions!$G$8+2)*Assumptions!$G$77+(I$95=Assumptions!$G$8+3)*Assumptions!$G$78)*(1+Assumptions!$G$189)^(I$95-2026)</f>
        <v/>
      </c>
      <c r="J96" s="21">
        <f>'Sources &amp; Uses'!$F$17*((J$95=Assumptions!$G$8)*Assumptions!$G$75+(J$95=Assumptions!$G$8+1)*Assumptions!$G$76+(J$95=Assumptions!$G$8+2)*Assumptions!$G$77+(J$95=Assumptions!$G$8+3)*Assumptions!$G$78)*(1+Assumptions!$G$189)^(J$95-2026)</f>
        <v/>
      </c>
      <c r="K96" s="21">
        <f>'Sources &amp; Uses'!$F$17*((K$95=Assumptions!$G$8)*Assumptions!$G$75+(K$95=Assumptions!$G$8+1)*Assumptions!$G$76+(K$95=Assumptions!$G$8+2)*Assumptions!$G$77+(K$95=Assumptions!$G$8+3)*Assumptions!$G$78)*(1+Assumptions!$G$189)^(K$95-2026)</f>
        <v/>
      </c>
      <c r="L96" s="21">
        <f>'Sources &amp; Uses'!$F$17*((L$95=Assumptions!$G$8)*Assumptions!$G$75+(L$95=Assumptions!$G$8+1)*Assumptions!$G$76+(L$95=Assumptions!$G$8+2)*Assumptions!$G$77+(L$95=Assumptions!$G$8+3)*Assumptions!$G$78)*(1+Assumptions!$G$189)^(L$95-2026)</f>
        <v/>
      </c>
      <c r="M96" s="21">
        <f>'Sources &amp; Uses'!$F$17*((M$95=Assumptions!$G$8)*Assumptions!$G$75+(M$95=Assumptions!$G$8+1)*Assumptions!$G$76+(M$95=Assumptions!$G$8+2)*Assumptions!$G$77+(M$95=Assumptions!$G$8+3)*Assumptions!$G$78)*(1+Assumptions!$G$189)^(M$95-2026)</f>
        <v/>
      </c>
      <c r="N96" s="47">
        <f>SUM(D96:M96)</f>
        <v/>
      </c>
      <c r="O96" s="47">
        <f>'Sources &amp; Uses'!$F$17</f>
        <v/>
      </c>
      <c r="P96" s="47">
        <f>N96-O96</f>
        <v/>
      </c>
    </row>
    <row r="97">
      <c r="A97" s="9" t="inlineStr">
        <is>
          <t>Stage 0 meadow prep, sound trail and pop-up kit</t>
        </is>
      </c>
      <c r="B97" s="24" t="inlineStr">
        <is>
          <t>Stage 0</t>
        </is>
      </c>
      <c r="C97" s="24" t="inlineStr">
        <is>
          <t>Land year + 1</t>
        </is>
      </c>
      <c r="D97" s="21">
        <f>'Sources &amp; Uses'!$F$18*(D$95=Assumptions!$G$8+1)*(1+Assumptions!$G$189)^(D$95-2026)</f>
        <v/>
      </c>
      <c r="E97" s="21">
        <f>'Sources &amp; Uses'!$F$18*(E$95=Assumptions!$G$8+1)*(1+Assumptions!$G$189)^(E$95-2026)</f>
        <v/>
      </c>
      <c r="F97" s="21">
        <f>'Sources &amp; Uses'!$F$18*(F$95=Assumptions!$G$8+1)*(1+Assumptions!$G$189)^(F$95-2026)</f>
        <v/>
      </c>
      <c r="G97" s="21">
        <f>'Sources &amp; Uses'!$F$18*(G$95=Assumptions!$G$8+1)*(1+Assumptions!$G$189)^(G$95-2026)</f>
        <v/>
      </c>
      <c r="H97" s="21">
        <f>'Sources &amp; Uses'!$F$18*(H$95=Assumptions!$G$8+1)*(1+Assumptions!$G$189)^(H$95-2026)</f>
        <v/>
      </c>
      <c r="I97" s="21">
        <f>'Sources &amp; Uses'!$F$18*(I$95=Assumptions!$G$8+1)*(1+Assumptions!$G$189)^(I$95-2026)</f>
        <v/>
      </c>
      <c r="J97" s="21">
        <f>'Sources &amp; Uses'!$F$18*(J$95=Assumptions!$G$8+1)*(1+Assumptions!$G$189)^(J$95-2026)</f>
        <v/>
      </c>
      <c r="K97" s="21">
        <f>'Sources &amp; Uses'!$F$18*(K$95=Assumptions!$G$8+1)*(1+Assumptions!$G$189)^(K$95-2026)</f>
        <v/>
      </c>
      <c r="L97" s="21">
        <f>'Sources &amp; Uses'!$F$18*(L$95=Assumptions!$G$8+1)*(1+Assumptions!$G$189)^(L$95-2026)</f>
        <v/>
      </c>
      <c r="M97" s="21">
        <f>'Sources &amp; Uses'!$F$18*(M$95=Assumptions!$G$8+1)*(1+Assumptions!$G$189)^(M$95-2026)</f>
        <v/>
      </c>
      <c r="N97" s="47">
        <f>SUM(D97:M97)</f>
        <v/>
      </c>
      <c r="O97" s="47">
        <f>'Sources &amp; Uses'!$F$18</f>
        <v/>
      </c>
      <c r="P97" s="47">
        <f>N97-O97</f>
        <v/>
      </c>
    </row>
    <row r="98">
      <c r="A98" s="9" t="inlineStr">
        <is>
          <t>Land (5 to 50 acres, Ojai Valley)</t>
        </is>
      </c>
      <c r="B98" s="24" t="inlineStr">
        <is>
          <t>Phase 1</t>
        </is>
      </c>
      <c r="C98" s="24" t="inlineStr">
        <is>
          <t>Land year</t>
        </is>
      </c>
      <c r="D98" s="21">
        <f>'Sources &amp; Uses'!$F$21*(D$95=Assumptions!$G$8)*(1+Assumptions!$G$189)^(D$95-2026)</f>
        <v/>
      </c>
      <c r="E98" s="21">
        <f>'Sources &amp; Uses'!$F$21*(E$95=Assumptions!$G$8)*(1+Assumptions!$G$189)^(E$95-2026)</f>
        <v/>
      </c>
      <c r="F98" s="21">
        <f>'Sources &amp; Uses'!$F$21*(F$95=Assumptions!$G$8)*(1+Assumptions!$G$189)^(F$95-2026)</f>
        <v/>
      </c>
      <c r="G98" s="21">
        <f>'Sources &amp; Uses'!$F$21*(G$95=Assumptions!$G$8)*(1+Assumptions!$G$189)^(G$95-2026)</f>
        <v/>
      </c>
      <c r="H98" s="21">
        <f>'Sources &amp; Uses'!$F$21*(H$95=Assumptions!$G$8)*(1+Assumptions!$G$189)^(H$95-2026)</f>
        <v/>
      </c>
      <c r="I98" s="21">
        <f>'Sources &amp; Uses'!$F$21*(I$95=Assumptions!$G$8)*(1+Assumptions!$G$189)^(I$95-2026)</f>
        <v/>
      </c>
      <c r="J98" s="21">
        <f>'Sources &amp; Uses'!$F$21*(J$95=Assumptions!$G$8)*(1+Assumptions!$G$189)^(J$95-2026)</f>
        <v/>
      </c>
      <c r="K98" s="21">
        <f>'Sources &amp; Uses'!$F$21*(K$95=Assumptions!$G$8)*(1+Assumptions!$G$189)^(K$95-2026)</f>
        <v/>
      </c>
      <c r="L98" s="21">
        <f>'Sources &amp; Uses'!$F$21*(L$95=Assumptions!$G$8)*(1+Assumptions!$G$189)^(L$95-2026)</f>
        <v/>
      </c>
      <c r="M98" s="21">
        <f>'Sources &amp; Uses'!$F$21*(M$95=Assumptions!$G$8)*(1+Assumptions!$G$189)^(M$95-2026)</f>
        <v/>
      </c>
      <c r="N98" s="47">
        <f>SUM(D98:M98)</f>
        <v/>
      </c>
      <c r="O98" s="47">
        <f>'Sources &amp; Uses'!$F$21</f>
        <v/>
      </c>
      <c r="P98" s="47">
        <f>N98-O98</f>
        <v/>
      </c>
    </row>
    <row r="99">
      <c r="A99" s="9" t="inlineStr">
        <is>
          <t>Land closing costs</t>
        </is>
      </c>
      <c r="B99" s="24" t="inlineStr">
        <is>
          <t>Phase 1</t>
        </is>
      </c>
      <c r="C99" s="24" t="inlineStr">
        <is>
          <t>Land year</t>
        </is>
      </c>
      <c r="D99" s="21">
        <f>'Sources &amp; Uses'!$F$22*(D$95=Assumptions!$G$8)*(1+Assumptions!$G$189)^(D$95-2026)</f>
        <v/>
      </c>
      <c r="E99" s="21">
        <f>'Sources &amp; Uses'!$F$22*(E$95=Assumptions!$G$8)*(1+Assumptions!$G$189)^(E$95-2026)</f>
        <v/>
      </c>
      <c r="F99" s="21">
        <f>'Sources &amp; Uses'!$F$22*(F$95=Assumptions!$G$8)*(1+Assumptions!$G$189)^(F$95-2026)</f>
        <v/>
      </c>
      <c r="G99" s="21">
        <f>'Sources &amp; Uses'!$F$22*(G$95=Assumptions!$G$8)*(1+Assumptions!$G$189)^(G$95-2026)</f>
        <v/>
      </c>
      <c r="H99" s="21">
        <f>'Sources &amp; Uses'!$F$22*(H$95=Assumptions!$G$8)*(1+Assumptions!$G$189)^(H$95-2026)</f>
        <v/>
      </c>
      <c r="I99" s="21">
        <f>'Sources &amp; Uses'!$F$22*(I$95=Assumptions!$G$8)*(1+Assumptions!$G$189)^(I$95-2026)</f>
        <v/>
      </c>
      <c r="J99" s="21">
        <f>'Sources &amp; Uses'!$F$22*(J$95=Assumptions!$G$8)*(1+Assumptions!$G$189)^(J$95-2026)</f>
        <v/>
      </c>
      <c r="K99" s="21">
        <f>'Sources &amp; Uses'!$F$22*(K$95=Assumptions!$G$8)*(1+Assumptions!$G$189)^(K$95-2026)</f>
        <v/>
      </c>
      <c r="L99" s="21">
        <f>'Sources &amp; Uses'!$F$22*(L$95=Assumptions!$G$8)*(1+Assumptions!$G$189)^(L$95-2026)</f>
        <v/>
      </c>
      <c r="M99" s="21">
        <f>'Sources &amp; Uses'!$F$22*(M$95=Assumptions!$G$8)*(1+Assumptions!$G$189)^(M$95-2026)</f>
        <v/>
      </c>
      <c r="N99" s="47">
        <f>SUM(D99:M99)</f>
        <v/>
      </c>
      <c r="O99" s="47">
        <f>'Sources &amp; Uses'!$F$22</f>
        <v/>
      </c>
      <c r="P99" s="47">
        <f>N99-O99</f>
        <v/>
      </c>
    </row>
    <row r="100">
      <c r="A100" s="9" t="inlineStr">
        <is>
          <t>Site infrastructure, Phase 1 share (roads, fire access, water, wastewater, power, data)</t>
        </is>
      </c>
      <c r="B100" s="24" t="inlineStr">
        <is>
          <t>Phase 1</t>
        </is>
      </c>
      <c r="C100" s="24" t="inlineStr">
        <is>
          <t>Opening -1, 0</t>
        </is>
      </c>
      <c r="D100" s="21">
        <f>'Sources &amp; Uses'!$F$23*((D$95=Assumptions!$G$9-2)*Assumptions!$G$87+(D$95=Assumptions!$G$9-1)*Assumptions!$G$88+(D$95=Assumptions!$G$9)*Assumptions!$G$89)*(1+Assumptions!$G$189)^(D$95-2026)</f>
        <v/>
      </c>
      <c r="E100" s="21">
        <f>'Sources &amp; Uses'!$F$23*((E$95=Assumptions!$G$9-2)*Assumptions!$G$87+(E$95=Assumptions!$G$9-1)*Assumptions!$G$88+(E$95=Assumptions!$G$9)*Assumptions!$G$89)*(1+Assumptions!$G$189)^(E$95-2026)</f>
        <v/>
      </c>
      <c r="F100" s="21">
        <f>'Sources &amp; Uses'!$F$23*((F$95=Assumptions!$G$9-2)*Assumptions!$G$87+(F$95=Assumptions!$G$9-1)*Assumptions!$G$88+(F$95=Assumptions!$G$9)*Assumptions!$G$89)*(1+Assumptions!$G$189)^(F$95-2026)</f>
        <v/>
      </c>
      <c r="G100" s="21">
        <f>'Sources &amp; Uses'!$F$23*((G$95=Assumptions!$G$9-2)*Assumptions!$G$87+(G$95=Assumptions!$G$9-1)*Assumptions!$G$88+(G$95=Assumptions!$G$9)*Assumptions!$G$89)*(1+Assumptions!$G$189)^(G$95-2026)</f>
        <v/>
      </c>
      <c r="H100" s="21">
        <f>'Sources &amp; Uses'!$F$23*((H$95=Assumptions!$G$9-2)*Assumptions!$G$87+(H$95=Assumptions!$G$9-1)*Assumptions!$G$88+(H$95=Assumptions!$G$9)*Assumptions!$G$89)*(1+Assumptions!$G$189)^(H$95-2026)</f>
        <v/>
      </c>
      <c r="I100" s="21">
        <f>'Sources &amp; Uses'!$F$23*((I$95=Assumptions!$G$9-2)*Assumptions!$G$87+(I$95=Assumptions!$G$9-1)*Assumptions!$G$88+(I$95=Assumptions!$G$9)*Assumptions!$G$89)*(1+Assumptions!$G$189)^(I$95-2026)</f>
        <v/>
      </c>
      <c r="J100" s="21">
        <f>'Sources &amp; Uses'!$F$23*((J$95=Assumptions!$G$9-2)*Assumptions!$G$87+(J$95=Assumptions!$G$9-1)*Assumptions!$G$88+(J$95=Assumptions!$G$9)*Assumptions!$G$89)*(1+Assumptions!$G$189)^(J$95-2026)</f>
        <v/>
      </c>
      <c r="K100" s="21">
        <f>'Sources &amp; Uses'!$F$23*((K$95=Assumptions!$G$9-2)*Assumptions!$G$87+(K$95=Assumptions!$G$9-1)*Assumptions!$G$88+(K$95=Assumptions!$G$9)*Assumptions!$G$89)*(1+Assumptions!$G$189)^(K$95-2026)</f>
        <v/>
      </c>
      <c r="L100" s="21">
        <f>'Sources &amp; Uses'!$F$23*((L$95=Assumptions!$G$9-2)*Assumptions!$G$87+(L$95=Assumptions!$G$9-1)*Assumptions!$G$88+(L$95=Assumptions!$G$9)*Assumptions!$G$89)*(1+Assumptions!$G$189)^(L$95-2026)</f>
        <v/>
      </c>
      <c r="M100" s="21">
        <f>'Sources &amp; Uses'!$F$23*((M$95=Assumptions!$G$9-2)*Assumptions!$G$87+(M$95=Assumptions!$G$9-1)*Assumptions!$G$88+(M$95=Assumptions!$G$9)*Assumptions!$G$89)*(1+Assumptions!$G$189)^(M$95-2026)</f>
        <v/>
      </c>
      <c r="N100" s="47">
        <f>SUM(D100:M100)</f>
        <v/>
      </c>
      <c r="O100" s="47">
        <f>'Sources &amp; Uses'!$F$23</f>
        <v/>
      </c>
      <c r="P100" s="47">
        <f>N100-O100</f>
        <v/>
      </c>
    </row>
    <row r="101">
      <c r="A101" s="9" t="inlineStr">
        <is>
          <t>Fire water storage, hydrants, shutoff generator, initial fuel clearance</t>
        </is>
      </c>
      <c r="B101" s="24" t="inlineStr">
        <is>
          <t>Phase 1</t>
        </is>
      </c>
      <c r="C101" s="24" t="inlineStr">
        <is>
          <t>Opening -1, 0</t>
        </is>
      </c>
      <c r="D101" s="21">
        <f>'Sources &amp; Uses'!$F$24*((D$95=Assumptions!$G$9-2)*Assumptions!$G$87+(D$95=Assumptions!$G$9-1)*Assumptions!$G$88+(D$95=Assumptions!$G$9)*Assumptions!$G$89)*(1+Assumptions!$G$189)^(D$95-2026)</f>
        <v/>
      </c>
      <c r="E101" s="21">
        <f>'Sources &amp; Uses'!$F$24*((E$95=Assumptions!$G$9-2)*Assumptions!$G$87+(E$95=Assumptions!$G$9-1)*Assumptions!$G$88+(E$95=Assumptions!$G$9)*Assumptions!$G$89)*(1+Assumptions!$G$189)^(E$95-2026)</f>
        <v/>
      </c>
      <c r="F101" s="21">
        <f>'Sources &amp; Uses'!$F$24*((F$95=Assumptions!$G$9-2)*Assumptions!$G$87+(F$95=Assumptions!$G$9-1)*Assumptions!$G$88+(F$95=Assumptions!$G$9)*Assumptions!$G$89)*(1+Assumptions!$G$189)^(F$95-2026)</f>
        <v/>
      </c>
      <c r="G101" s="21">
        <f>'Sources &amp; Uses'!$F$24*((G$95=Assumptions!$G$9-2)*Assumptions!$G$87+(G$95=Assumptions!$G$9-1)*Assumptions!$G$88+(G$95=Assumptions!$G$9)*Assumptions!$G$89)*(1+Assumptions!$G$189)^(G$95-2026)</f>
        <v/>
      </c>
      <c r="H101" s="21">
        <f>'Sources &amp; Uses'!$F$24*((H$95=Assumptions!$G$9-2)*Assumptions!$G$87+(H$95=Assumptions!$G$9-1)*Assumptions!$G$88+(H$95=Assumptions!$G$9)*Assumptions!$G$89)*(1+Assumptions!$G$189)^(H$95-2026)</f>
        <v/>
      </c>
      <c r="I101" s="21">
        <f>'Sources &amp; Uses'!$F$24*((I$95=Assumptions!$G$9-2)*Assumptions!$G$87+(I$95=Assumptions!$G$9-1)*Assumptions!$G$88+(I$95=Assumptions!$G$9)*Assumptions!$G$89)*(1+Assumptions!$G$189)^(I$95-2026)</f>
        <v/>
      </c>
      <c r="J101" s="21">
        <f>'Sources &amp; Uses'!$F$24*((J$95=Assumptions!$G$9-2)*Assumptions!$G$87+(J$95=Assumptions!$G$9-1)*Assumptions!$G$88+(J$95=Assumptions!$G$9)*Assumptions!$G$89)*(1+Assumptions!$G$189)^(J$95-2026)</f>
        <v/>
      </c>
      <c r="K101" s="21">
        <f>'Sources &amp; Uses'!$F$24*((K$95=Assumptions!$G$9-2)*Assumptions!$G$87+(K$95=Assumptions!$G$9-1)*Assumptions!$G$88+(K$95=Assumptions!$G$9)*Assumptions!$G$89)*(1+Assumptions!$G$189)^(K$95-2026)</f>
        <v/>
      </c>
      <c r="L101" s="21">
        <f>'Sources &amp; Uses'!$F$24*((L$95=Assumptions!$G$9-2)*Assumptions!$G$87+(L$95=Assumptions!$G$9-1)*Assumptions!$G$88+(L$95=Assumptions!$G$9)*Assumptions!$G$89)*(1+Assumptions!$G$189)^(L$95-2026)</f>
        <v/>
      </c>
      <c r="M101" s="21">
        <f>'Sources &amp; Uses'!$F$24*((M$95=Assumptions!$G$9-2)*Assumptions!$G$87+(M$95=Assumptions!$G$9-1)*Assumptions!$G$88+(M$95=Assumptions!$G$9)*Assumptions!$G$89)*(1+Assumptions!$G$189)^(M$95-2026)</f>
        <v/>
      </c>
      <c r="N101" s="47">
        <f>SUM(D101:M101)</f>
        <v/>
      </c>
      <c r="O101" s="47">
        <f>'Sources &amp; Uses'!$F$24</f>
        <v/>
      </c>
      <c r="P101" s="47">
        <f>N101-O101</f>
        <v/>
      </c>
    </row>
    <row r="102">
      <c r="A102" s="9" t="inlineStr">
        <is>
          <t>Amphitheater, 150 seats (bowl, stage, canopy, back-of-house, restrooms, lighting)</t>
        </is>
      </c>
      <c r="B102" s="24" t="inlineStr">
        <is>
          <t>Phase 1</t>
        </is>
      </c>
      <c r="C102" s="24" t="inlineStr">
        <is>
          <t>Opening -1, 0</t>
        </is>
      </c>
      <c r="D102" s="21">
        <f>'Sources &amp; Uses'!$F$25*((D$95=Assumptions!$G$9-2)*Assumptions!$G$87+(D$95=Assumptions!$G$9-1)*Assumptions!$G$88+(D$95=Assumptions!$G$9)*Assumptions!$G$89)*(1+Assumptions!$G$189)^(D$95-2026)</f>
        <v/>
      </c>
      <c r="E102" s="21">
        <f>'Sources &amp; Uses'!$F$25*((E$95=Assumptions!$G$9-2)*Assumptions!$G$87+(E$95=Assumptions!$G$9-1)*Assumptions!$G$88+(E$95=Assumptions!$G$9)*Assumptions!$G$89)*(1+Assumptions!$G$189)^(E$95-2026)</f>
        <v/>
      </c>
      <c r="F102" s="21">
        <f>'Sources &amp; Uses'!$F$25*((F$95=Assumptions!$G$9-2)*Assumptions!$G$87+(F$95=Assumptions!$G$9-1)*Assumptions!$G$88+(F$95=Assumptions!$G$9)*Assumptions!$G$89)*(1+Assumptions!$G$189)^(F$95-2026)</f>
        <v/>
      </c>
      <c r="G102" s="21">
        <f>'Sources &amp; Uses'!$F$25*((G$95=Assumptions!$G$9-2)*Assumptions!$G$87+(G$95=Assumptions!$G$9-1)*Assumptions!$G$88+(G$95=Assumptions!$G$9)*Assumptions!$G$89)*(1+Assumptions!$G$189)^(G$95-2026)</f>
        <v/>
      </c>
      <c r="H102" s="21">
        <f>'Sources &amp; Uses'!$F$25*((H$95=Assumptions!$G$9-2)*Assumptions!$G$87+(H$95=Assumptions!$G$9-1)*Assumptions!$G$88+(H$95=Assumptions!$G$9)*Assumptions!$G$89)*(1+Assumptions!$G$189)^(H$95-2026)</f>
        <v/>
      </c>
      <c r="I102" s="21">
        <f>'Sources &amp; Uses'!$F$25*((I$95=Assumptions!$G$9-2)*Assumptions!$G$87+(I$95=Assumptions!$G$9-1)*Assumptions!$G$88+(I$95=Assumptions!$G$9)*Assumptions!$G$89)*(1+Assumptions!$G$189)^(I$95-2026)</f>
        <v/>
      </c>
      <c r="J102" s="21">
        <f>'Sources &amp; Uses'!$F$25*((J$95=Assumptions!$G$9-2)*Assumptions!$G$87+(J$95=Assumptions!$G$9-1)*Assumptions!$G$88+(J$95=Assumptions!$G$9)*Assumptions!$G$89)*(1+Assumptions!$G$189)^(J$95-2026)</f>
        <v/>
      </c>
      <c r="K102" s="21">
        <f>'Sources &amp; Uses'!$F$25*((K$95=Assumptions!$G$9-2)*Assumptions!$G$87+(K$95=Assumptions!$G$9-1)*Assumptions!$G$88+(K$95=Assumptions!$G$9)*Assumptions!$G$89)*(1+Assumptions!$G$189)^(K$95-2026)</f>
        <v/>
      </c>
      <c r="L102" s="21">
        <f>'Sources &amp; Uses'!$F$25*((L$95=Assumptions!$G$9-2)*Assumptions!$G$87+(L$95=Assumptions!$G$9-1)*Assumptions!$G$88+(L$95=Assumptions!$G$9)*Assumptions!$G$89)*(1+Assumptions!$G$189)^(L$95-2026)</f>
        <v/>
      </c>
      <c r="M102" s="21">
        <f>'Sources &amp; Uses'!$F$25*((M$95=Assumptions!$G$9-2)*Assumptions!$G$87+(M$95=Assumptions!$G$9-1)*Assumptions!$G$88+(M$95=Assumptions!$G$9)*Assumptions!$G$89)*(1+Assumptions!$G$189)^(M$95-2026)</f>
        <v/>
      </c>
      <c r="N102" s="47">
        <f>SUM(D102:M102)</f>
        <v/>
      </c>
      <c r="O102" s="47">
        <f>'Sources &amp; Uses'!$F$25</f>
        <v/>
      </c>
      <c r="P102" s="47">
        <f>N102-O102</f>
        <v/>
      </c>
    </row>
    <row r="103">
      <c r="A103" s="9" t="inlineStr">
        <is>
          <t>Sculptural sound system</t>
        </is>
      </c>
      <c r="B103" s="24" t="inlineStr">
        <is>
          <t>Phase 1</t>
        </is>
      </c>
      <c r="C103" s="24" t="inlineStr">
        <is>
          <t>Opening -1, 0</t>
        </is>
      </c>
      <c r="D103" s="21">
        <f>'Sources &amp; Uses'!$F$26*((D$95=Assumptions!$G$9-1)*Assumptions!$G$95+(D$95=Assumptions!$G$9)*Assumptions!$G$96)*(1+Assumptions!$G$189)^(D$95-2026)</f>
        <v/>
      </c>
      <c r="E103" s="21">
        <f>'Sources &amp; Uses'!$F$26*((E$95=Assumptions!$G$9-1)*Assumptions!$G$95+(E$95=Assumptions!$G$9)*Assumptions!$G$96)*(1+Assumptions!$G$189)^(E$95-2026)</f>
        <v/>
      </c>
      <c r="F103" s="21">
        <f>'Sources &amp; Uses'!$F$26*((F$95=Assumptions!$G$9-1)*Assumptions!$G$95+(F$95=Assumptions!$G$9)*Assumptions!$G$96)*(1+Assumptions!$G$189)^(F$95-2026)</f>
        <v/>
      </c>
      <c r="G103" s="21">
        <f>'Sources &amp; Uses'!$F$26*((G$95=Assumptions!$G$9-1)*Assumptions!$G$95+(G$95=Assumptions!$G$9)*Assumptions!$G$96)*(1+Assumptions!$G$189)^(G$95-2026)</f>
        <v/>
      </c>
      <c r="H103" s="21">
        <f>'Sources &amp; Uses'!$F$26*((H$95=Assumptions!$G$9-1)*Assumptions!$G$95+(H$95=Assumptions!$G$9)*Assumptions!$G$96)*(1+Assumptions!$G$189)^(H$95-2026)</f>
        <v/>
      </c>
      <c r="I103" s="21">
        <f>'Sources &amp; Uses'!$F$26*((I$95=Assumptions!$G$9-1)*Assumptions!$G$95+(I$95=Assumptions!$G$9)*Assumptions!$G$96)*(1+Assumptions!$G$189)^(I$95-2026)</f>
        <v/>
      </c>
      <c r="J103" s="21">
        <f>'Sources &amp; Uses'!$F$26*((J$95=Assumptions!$G$9-1)*Assumptions!$G$95+(J$95=Assumptions!$G$9)*Assumptions!$G$96)*(1+Assumptions!$G$189)^(J$95-2026)</f>
        <v/>
      </c>
      <c r="K103" s="21">
        <f>'Sources &amp; Uses'!$F$26*((K$95=Assumptions!$G$9-1)*Assumptions!$G$95+(K$95=Assumptions!$G$9)*Assumptions!$G$96)*(1+Assumptions!$G$189)^(K$95-2026)</f>
        <v/>
      </c>
      <c r="L103" s="21">
        <f>'Sources &amp; Uses'!$F$26*((L$95=Assumptions!$G$9-1)*Assumptions!$G$95+(L$95=Assumptions!$G$9)*Assumptions!$G$96)*(1+Assumptions!$G$189)^(L$95-2026)</f>
        <v/>
      </c>
      <c r="M103" s="21">
        <f>'Sources &amp; Uses'!$F$26*((M$95=Assumptions!$G$9-1)*Assumptions!$G$95+(M$95=Assumptions!$G$9)*Assumptions!$G$96)*(1+Assumptions!$G$189)^(M$95-2026)</f>
        <v/>
      </c>
      <c r="N103" s="47">
        <f>SUM(D103:M103)</f>
        <v/>
      </c>
      <c r="O103" s="47">
        <f>'Sources &amp; Uses'!$F$26</f>
        <v/>
      </c>
      <c r="P103" s="47">
        <f>N103-O103</f>
        <v/>
      </c>
    </row>
    <row r="104">
      <c r="A104" s="9" t="inlineStr">
        <is>
          <t>Arcana cabins, Phase 1 (all 12)</t>
        </is>
      </c>
      <c r="B104" s="24" t="inlineStr">
        <is>
          <t>Phase 1</t>
        </is>
      </c>
      <c r="C104" s="24" t="inlineStr">
        <is>
          <t>50% order, 50% delivery</t>
        </is>
      </c>
      <c r="D104" s="21">
        <f>'Sources &amp; Uses'!$F$27*((D$95=Assumptions!$G$9-1)*Assumptions!$G$93+(D$95=Assumptions!$G$9)*Assumptions!$G$94)*(1+Assumptions!$G$189)^(D$95-2026)</f>
        <v/>
      </c>
      <c r="E104" s="21">
        <f>'Sources &amp; Uses'!$F$27*((E$95=Assumptions!$G$9-1)*Assumptions!$G$93+(E$95=Assumptions!$G$9)*Assumptions!$G$94)*(1+Assumptions!$G$189)^(E$95-2026)</f>
        <v/>
      </c>
      <c r="F104" s="21">
        <f>'Sources &amp; Uses'!$F$27*((F$95=Assumptions!$G$9-1)*Assumptions!$G$93+(F$95=Assumptions!$G$9)*Assumptions!$G$94)*(1+Assumptions!$G$189)^(F$95-2026)</f>
        <v/>
      </c>
      <c r="G104" s="21">
        <f>'Sources &amp; Uses'!$F$27*((G$95=Assumptions!$G$9-1)*Assumptions!$G$93+(G$95=Assumptions!$G$9)*Assumptions!$G$94)*(1+Assumptions!$G$189)^(G$95-2026)</f>
        <v/>
      </c>
      <c r="H104" s="21">
        <f>'Sources &amp; Uses'!$F$27*((H$95=Assumptions!$G$9-1)*Assumptions!$G$93+(H$95=Assumptions!$G$9)*Assumptions!$G$94)*(1+Assumptions!$G$189)^(H$95-2026)</f>
        <v/>
      </c>
      <c r="I104" s="21">
        <f>'Sources &amp; Uses'!$F$27*((I$95=Assumptions!$G$9-1)*Assumptions!$G$93+(I$95=Assumptions!$G$9)*Assumptions!$G$94)*(1+Assumptions!$G$189)^(I$95-2026)</f>
        <v/>
      </c>
      <c r="J104" s="21">
        <f>'Sources &amp; Uses'!$F$27*((J$95=Assumptions!$G$9-1)*Assumptions!$G$93+(J$95=Assumptions!$G$9)*Assumptions!$G$94)*(1+Assumptions!$G$189)^(J$95-2026)</f>
        <v/>
      </c>
      <c r="K104" s="21">
        <f>'Sources &amp; Uses'!$F$27*((K$95=Assumptions!$G$9-1)*Assumptions!$G$93+(K$95=Assumptions!$G$9)*Assumptions!$G$94)*(1+Assumptions!$G$189)^(K$95-2026)</f>
        <v/>
      </c>
      <c r="L104" s="21">
        <f>'Sources &amp; Uses'!$F$27*((L$95=Assumptions!$G$9-1)*Assumptions!$G$93+(L$95=Assumptions!$G$9)*Assumptions!$G$94)*(1+Assumptions!$G$189)^(L$95-2026)</f>
        <v/>
      </c>
      <c r="M104" s="21">
        <f>'Sources &amp; Uses'!$F$27*((M$95=Assumptions!$G$9-1)*Assumptions!$G$93+(M$95=Assumptions!$G$9)*Assumptions!$G$94)*(1+Assumptions!$G$189)^(M$95-2026)</f>
        <v/>
      </c>
      <c r="N104" s="47">
        <f>SUM(D104:M104)</f>
        <v/>
      </c>
      <c r="O104" s="47">
        <f>'Sources &amp; Uses'!$F$27</f>
        <v/>
      </c>
      <c r="P104" s="47">
        <f>N104-O104</f>
        <v/>
      </c>
    </row>
    <row r="105">
      <c r="A105" s="9" t="inlineStr">
        <is>
          <t>Bathhouse: sauna, cold plunge and hot tub, shared</t>
        </is>
      </c>
      <c r="B105" s="24" t="inlineStr">
        <is>
          <t>Phase 1</t>
        </is>
      </c>
      <c r="C105" s="24" t="inlineStr">
        <is>
          <t>Opening -1, 0</t>
        </is>
      </c>
      <c r="D105" s="21">
        <f>'Sources &amp; Uses'!$F$28*((D$95=Assumptions!$G$9-2)*Assumptions!$G$87+(D$95=Assumptions!$G$9-1)*Assumptions!$G$88+(D$95=Assumptions!$G$9)*Assumptions!$G$89)*(1+Assumptions!$G$189)^(D$95-2026)</f>
        <v/>
      </c>
      <c r="E105" s="21">
        <f>'Sources &amp; Uses'!$F$28*((E$95=Assumptions!$G$9-2)*Assumptions!$G$87+(E$95=Assumptions!$G$9-1)*Assumptions!$G$88+(E$95=Assumptions!$G$9)*Assumptions!$G$89)*(1+Assumptions!$G$189)^(E$95-2026)</f>
        <v/>
      </c>
      <c r="F105" s="21">
        <f>'Sources &amp; Uses'!$F$28*((F$95=Assumptions!$G$9-2)*Assumptions!$G$87+(F$95=Assumptions!$G$9-1)*Assumptions!$G$88+(F$95=Assumptions!$G$9)*Assumptions!$G$89)*(1+Assumptions!$G$189)^(F$95-2026)</f>
        <v/>
      </c>
      <c r="G105" s="21">
        <f>'Sources &amp; Uses'!$F$28*((G$95=Assumptions!$G$9-2)*Assumptions!$G$87+(G$95=Assumptions!$G$9-1)*Assumptions!$G$88+(G$95=Assumptions!$G$9)*Assumptions!$G$89)*(1+Assumptions!$G$189)^(G$95-2026)</f>
        <v/>
      </c>
      <c r="H105" s="21">
        <f>'Sources &amp; Uses'!$F$28*((H$95=Assumptions!$G$9-2)*Assumptions!$G$87+(H$95=Assumptions!$G$9-1)*Assumptions!$G$88+(H$95=Assumptions!$G$9)*Assumptions!$G$89)*(1+Assumptions!$G$189)^(H$95-2026)</f>
        <v/>
      </c>
      <c r="I105" s="21">
        <f>'Sources &amp; Uses'!$F$28*((I$95=Assumptions!$G$9-2)*Assumptions!$G$87+(I$95=Assumptions!$G$9-1)*Assumptions!$G$88+(I$95=Assumptions!$G$9)*Assumptions!$G$89)*(1+Assumptions!$G$189)^(I$95-2026)</f>
        <v/>
      </c>
      <c r="J105" s="21">
        <f>'Sources &amp; Uses'!$F$28*((J$95=Assumptions!$G$9-2)*Assumptions!$G$87+(J$95=Assumptions!$G$9-1)*Assumptions!$G$88+(J$95=Assumptions!$G$9)*Assumptions!$G$89)*(1+Assumptions!$G$189)^(J$95-2026)</f>
        <v/>
      </c>
      <c r="K105" s="21">
        <f>'Sources &amp; Uses'!$F$28*((K$95=Assumptions!$G$9-2)*Assumptions!$G$87+(K$95=Assumptions!$G$9-1)*Assumptions!$G$88+(K$95=Assumptions!$G$9)*Assumptions!$G$89)*(1+Assumptions!$G$189)^(K$95-2026)</f>
        <v/>
      </c>
      <c r="L105" s="21">
        <f>'Sources &amp; Uses'!$F$28*((L$95=Assumptions!$G$9-2)*Assumptions!$G$87+(L$95=Assumptions!$G$9-1)*Assumptions!$G$88+(L$95=Assumptions!$G$9)*Assumptions!$G$89)*(1+Assumptions!$G$189)^(L$95-2026)</f>
        <v/>
      </c>
      <c r="M105" s="21">
        <f>'Sources &amp; Uses'!$F$28*((M$95=Assumptions!$G$9-2)*Assumptions!$G$87+(M$95=Assumptions!$G$9-1)*Assumptions!$G$88+(M$95=Assumptions!$G$9)*Assumptions!$G$89)*(1+Assumptions!$G$189)^(M$95-2026)</f>
        <v/>
      </c>
      <c r="N105" s="47">
        <f>SUM(D105:M105)</f>
        <v/>
      </c>
      <c r="O105" s="47">
        <f>'Sources &amp; Uses'!$F$28</f>
        <v/>
      </c>
      <c r="P105" s="47">
        <f>N105-O105</f>
        <v/>
      </c>
    </row>
    <row r="106">
      <c r="A106" s="9" t="inlineStr">
        <is>
          <t>Temporary kitchen (none: caterers until the gallery kitchen opens)</t>
        </is>
      </c>
      <c r="B106" s="24" t="inlineStr">
        <is>
          <t>Phase 1</t>
        </is>
      </c>
      <c r="C106" s="24" t="inlineStr">
        <is>
          <t>Opening year</t>
        </is>
      </c>
      <c r="D106" s="21">
        <f>'Sources &amp; Uses'!$F$29*(D$95=Assumptions!$G$9)*(1+Assumptions!$G$189)^(D$95-2026)</f>
        <v/>
      </c>
      <c r="E106" s="21">
        <f>'Sources &amp; Uses'!$F$29*(E$95=Assumptions!$G$9)*(1+Assumptions!$G$189)^(E$95-2026)</f>
        <v/>
      </c>
      <c r="F106" s="21">
        <f>'Sources &amp; Uses'!$F$29*(F$95=Assumptions!$G$9)*(1+Assumptions!$G$189)^(F$95-2026)</f>
        <v/>
      </c>
      <c r="G106" s="21">
        <f>'Sources &amp; Uses'!$F$29*(G$95=Assumptions!$G$9)*(1+Assumptions!$G$189)^(G$95-2026)</f>
        <v/>
      </c>
      <c r="H106" s="21">
        <f>'Sources &amp; Uses'!$F$29*(H$95=Assumptions!$G$9)*(1+Assumptions!$G$189)^(H$95-2026)</f>
        <v/>
      </c>
      <c r="I106" s="21">
        <f>'Sources &amp; Uses'!$F$29*(I$95=Assumptions!$G$9)*(1+Assumptions!$G$189)^(I$95-2026)</f>
        <v/>
      </c>
      <c r="J106" s="21">
        <f>'Sources &amp; Uses'!$F$29*(J$95=Assumptions!$G$9)*(1+Assumptions!$G$189)^(J$95-2026)</f>
        <v/>
      </c>
      <c r="K106" s="21">
        <f>'Sources &amp; Uses'!$F$29*(K$95=Assumptions!$G$9)*(1+Assumptions!$G$189)^(K$95-2026)</f>
        <v/>
      </c>
      <c r="L106" s="21">
        <f>'Sources &amp; Uses'!$F$29*(L$95=Assumptions!$G$9)*(1+Assumptions!$G$189)^(L$95-2026)</f>
        <v/>
      </c>
      <c r="M106" s="21">
        <f>'Sources &amp; Uses'!$F$29*(M$95=Assumptions!$G$9)*(1+Assumptions!$G$189)^(M$95-2026)</f>
        <v/>
      </c>
      <c r="N106" s="47">
        <f>SUM(D106:M106)</f>
        <v/>
      </c>
      <c r="O106" s="47">
        <f>'Sources &amp; Uses'!$F$29</f>
        <v/>
      </c>
      <c r="P106" s="47">
        <f>N106-O106</f>
        <v/>
      </c>
    </row>
    <row r="107">
      <c r="A107" s="9" t="inlineStr">
        <is>
          <t>School fees, Casitas water capital charge, HCD factory-built approval (one-time)</t>
        </is>
      </c>
      <c r="B107" s="24" t="inlineStr">
        <is>
          <t>Phase 1</t>
        </is>
      </c>
      <c r="C107" s="24" t="inlineStr">
        <is>
          <t>Opening -1, 0</t>
        </is>
      </c>
      <c r="D107" s="21">
        <f>'Sources &amp; Uses'!$F$30*((D$95=Assumptions!$G$9-2)*Assumptions!$G$87+(D$95=Assumptions!$G$9-1)*Assumptions!$G$88+(D$95=Assumptions!$G$9)*Assumptions!$G$89)*(1+Assumptions!$G$189)^(D$95-2026)</f>
        <v/>
      </c>
      <c r="E107" s="21">
        <f>'Sources &amp; Uses'!$F$30*((E$95=Assumptions!$G$9-2)*Assumptions!$G$87+(E$95=Assumptions!$G$9-1)*Assumptions!$G$88+(E$95=Assumptions!$G$9)*Assumptions!$G$89)*(1+Assumptions!$G$189)^(E$95-2026)</f>
        <v/>
      </c>
      <c r="F107" s="21">
        <f>'Sources &amp; Uses'!$F$30*((F$95=Assumptions!$G$9-2)*Assumptions!$G$87+(F$95=Assumptions!$G$9-1)*Assumptions!$G$88+(F$95=Assumptions!$G$9)*Assumptions!$G$89)*(1+Assumptions!$G$189)^(F$95-2026)</f>
        <v/>
      </c>
      <c r="G107" s="21">
        <f>'Sources &amp; Uses'!$F$30*((G$95=Assumptions!$G$9-2)*Assumptions!$G$87+(G$95=Assumptions!$G$9-1)*Assumptions!$G$88+(G$95=Assumptions!$G$9)*Assumptions!$G$89)*(1+Assumptions!$G$189)^(G$95-2026)</f>
        <v/>
      </c>
      <c r="H107" s="21">
        <f>'Sources &amp; Uses'!$F$30*((H$95=Assumptions!$G$9-2)*Assumptions!$G$87+(H$95=Assumptions!$G$9-1)*Assumptions!$G$88+(H$95=Assumptions!$G$9)*Assumptions!$G$89)*(1+Assumptions!$G$189)^(H$95-2026)</f>
        <v/>
      </c>
      <c r="I107" s="21">
        <f>'Sources &amp; Uses'!$F$30*((I$95=Assumptions!$G$9-2)*Assumptions!$G$87+(I$95=Assumptions!$G$9-1)*Assumptions!$G$88+(I$95=Assumptions!$G$9)*Assumptions!$G$89)*(1+Assumptions!$G$189)^(I$95-2026)</f>
        <v/>
      </c>
      <c r="J107" s="21">
        <f>'Sources &amp; Uses'!$F$30*((J$95=Assumptions!$G$9-2)*Assumptions!$G$87+(J$95=Assumptions!$G$9-1)*Assumptions!$G$88+(J$95=Assumptions!$G$9)*Assumptions!$G$89)*(1+Assumptions!$G$189)^(J$95-2026)</f>
        <v/>
      </c>
      <c r="K107" s="21">
        <f>'Sources &amp; Uses'!$F$30*((K$95=Assumptions!$G$9-2)*Assumptions!$G$87+(K$95=Assumptions!$G$9-1)*Assumptions!$G$88+(K$95=Assumptions!$G$9)*Assumptions!$G$89)*(1+Assumptions!$G$189)^(K$95-2026)</f>
        <v/>
      </c>
      <c r="L107" s="21">
        <f>'Sources &amp; Uses'!$F$30*((L$95=Assumptions!$G$9-2)*Assumptions!$G$87+(L$95=Assumptions!$G$9-1)*Assumptions!$G$88+(L$95=Assumptions!$G$9)*Assumptions!$G$89)*(1+Assumptions!$G$189)^(L$95-2026)</f>
        <v/>
      </c>
      <c r="M107" s="21">
        <f>'Sources &amp; Uses'!$F$30*((M$95=Assumptions!$G$9-2)*Assumptions!$G$87+(M$95=Assumptions!$G$9-1)*Assumptions!$G$88+(M$95=Assumptions!$G$9)*Assumptions!$G$89)*(1+Assumptions!$G$189)^(M$95-2026)</f>
        <v/>
      </c>
      <c r="N107" s="47">
        <f>SUM(D107:M107)</f>
        <v/>
      </c>
      <c r="O107" s="47">
        <f>'Sources &amp; Uses'!$F$30</f>
        <v/>
      </c>
      <c r="P107" s="47">
        <f>N107-O107</f>
        <v/>
      </c>
    </row>
    <row r="108">
      <c r="A108" s="9" t="inlineStr">
        <is>
          <t>Maintenance building and one staff unit</t>
        </is>
      </c>
      <c r="B108" s="24" t="inlineStr">
        <is>
          <t>Phase 1</t>
        </is>
      </c>
      <c r="C108" s="24" t="inlineStr">
        <is>
          <t>Opening -1, 0</t>
        </is>
      </c>
      <c r="D108" s="21">
        <f>'Sources &amp; Uses'!$F$31*((D$95=Assumptions!$G$9-2)*Assumptions!$G$87+(D$95=Assumptions!$G$9-1)*Assumptions!$G$88+(D$95=Assumptions!$G$9)*Assumptions!$G$89)*(1+Assumptions!$G$189)^(D$95-2026)</f>
        <v/>
      </c>
      <c r="E108" s="21">
        <f>'Sources &amp; Uses'!$F$31*((E$95=Assumptions!$G$9-2)*Assumptions!$G$87+(E$95=Assumptions!$G$9-1)*Assumptions!$G$88+(E$95=Assumptions!$G$9)*Assumptions!$G$89)*(1+Assumptions!$G$189)^(E$95-2026)</f>
        <v/>
      </c>
      <c r="F108" s="21">
        <f>'Sources &amp; Uses'!$F$31*((F$95=Assumptions!$G$9-2)*Assumptions!$G$87+(F$95=Assumptions!$G$9-1)*Assumptions!$G$88+(F$95=Assumptions!$G$9)*Assumptions!$G$89)*(1+Assumptions!$G$189)^(F$95-2026)</f>
        <v/>
      </c>
      <c r="G108" s="21">
        <f>'Sources &amp; Uses'!$F$31*((G$95=Assumptions!$G$9-2)*Assumptions!$G$87+(G$95=Assumptions!$G$9-1)*Assumptions!$G$88+(G$95=Assumptions!$G$9)*Assumptions!$G$89)*(1+Assumptions!$G$189)^(G$95-2026)</f>
        <v/>
      </c>
      <c r="H108" s="21">
        <f>'Sources &amp; Uses'!$F$31*((H$95=Assumptions!$G$9-2)*Assumptions!$G$87+(H$95=Assumptions!$G$9-1)*Assumptions!$G$88+(H$95=Assumptions!$G$9)*Assumptions!$G$89)*(1+Assumptions!$G$189)^(H$95-2026)</f>
        <v/>
      </c>
      <c r="I108" s="21">
        <f>'Sources &amp; Uses'!$F$31*((I$95=Assumptions!$G$9-2)*Assumptions!$G$87+(I$95=Assumptions!$G$9-1)*Assumptions!$G$88+(I$95=Assumptions!$G$9)*Assumptions!$G$89)*(1+Assumptions!$G$189)^(I$95-2026)</f>
        <v/>
      </c>
      <c r="J108" s="21">
        <f>'Sources &amp; Uses'!$F$31*((J$95=Assumptions!$G$9-2)*Assumptions!$G$87+(J$95=Assumptions!$G$9-1)*Assumptions!$G$88+(J$95=Assumptions!$G$9)*Assumptions!$G$89)*(1+Assumptions!$G$189)^(J$95-2026)</f>
        <v/>
      </c>
      <c r="K108" s="21">
        <f>'Sources &amp; Uses'!$F$31*((K$95=Assumptions!$G$9-2)*Assumptions!$G$87+(K$95=Assumptions!$G$9-1)*Assumptions!$G$88+(K$95=Assumptions!$G$9)*Assumptions!$G$89)*(1+Assumptions!$G$189)^(K$95-2026)</f>
        <v/>
      </c>
      <c r="L108" s="21">
        <f>'Sources &amp; Uses'!$F$31*((L$95=Assumptions!$G$9-2)*Assumptions!$G$87+(L$95=Assumptions!$G$9-1)*Assumptions!$G$88+(L$95=Assumptions!$G$9)*Assumptions!$G$89)*(1+Assumptions!$G$189)^(L$95-2026)</f>
        <v/>
      </c>
      <c r="M108" s="21">
        <f>'Sources &amp; Uses'!$F$31*((M$95=Assumptions!$G$9-2)*Assumptions!$G$87+(M$95=Assumptions!$G$9-1)*Assumptions!$G$88+(M$95=Assumptions!$G$9)*Assumptions!$G$89)*(1+Assumptions!$G$189)^(M$95-2026)</f>
        <v/>
      </c>
      <c r="N108" s="47">
        <f>SUM(D108:M108)</f>
        <v/>
      </c>
      <c r="O108" s="47">
        <f>'Sources &amp; Uses'!$F$31</f>
        <v/>
      </c>
      <c r="P108" s="47">
        <f>N108-O108</f>
        <v/>
      </c>
    </row>
    <row r="109">
      <c r="A109" s="9" t="inlineStr">
        <is>
          <t>Landscaping and artwork, Phase 1 share</t>
        </is>
      </c>
      <c r="B109" s="24" t="inlineStr">
        <is>
          <t>Phase 1</t>
        </is>
      </c>
      <c r="C109" s="24" t="inlineStr">
        <is>
          <t>Opening -1, 0</t>
        </is>
      </c>
      <c r="D109" s="21">
        <f>'Sources &amp; Uses'!$F$32*((D$95=Assumptions!$G$9-2)*Assumptions!$G$87+(D$95=Assumptions!$G$9-1)*Assumptions!$G$88+(D$95=Assumptions!$G$9)*Assumptions!$G$89)*(1+Assumptions!$G$189)^(D$95-2026)</f>
        <v/>
      </c>
      <c r="E109" s="21">
        <f>'Sources &amp; Uses'!$F$32*((E$95=Assumptions!$G$9-2)*Assumptions!$G$87+(E$95=Assumptions!$G$9-1)*Assumptions!$G$88+(E$95=Assumptions!$G$9)*Assumptions!$G$89)*(1+Assumptions!$G$189)^(E$95-2026)</f>
        <v/>
      </c>
      <c r="F109" s="21">
        <f>'Sources &amp; Uses'!$F$32*((F$95=Assumptions!$G$9-2)*Assumptions!$G$87+(F$95=Assumptions!$G$9-1)*Assumptions!$G$88+(F$95=Assumptions!$G$9)*Assumptions!$G$89)*(1+Assumptions!$G$189)^(F$95-2026)</f>
        <v/>
      </c>
      <c r="G109" s="21">
        <f>'Sources &amp; Uses'!$F$32*((G$95=Assumptions!$G$9-2)*Assumptions!$G$87+(G$95=Assumptions!$G$9-1)*Assumptions!$G$88+(G$95=Assumptions!$G$9)*Assumptions!$G$89)*(1+Assumptions!$G$189)^(G$95-2026)</f>
        <v/>
      </c>
      <c r="H109" s="21">
        <f>'Sources &amp; Uses'!$F$32*((H$95=Assumptions!$G$9-2)*Assumptions!$G$87+(H$95=Assumptions!$G$9-1)*Assumptions!$G$88+(H$95=Assumptions!$G$9)*Assumptions!$G$89)*(1+Assumptions!$G$189)^(H$95-2026)</f>
        <v/>
      </c>
      <c r="I109" s="21">
        <f>'Sources &amp; Uses'!$F$32*((I$95=Assumptions!$G$9-2)*Assumptions!$G$87+(I$95=Assumptions!$G$9-1)*Assumptions!$G$88+(I$95=Assumptions!$G$9)*Assumptions!$G$89)*(1+Assumptions!$G$189)^(I$95-2026)</f>
        <v/>
      </c>
      <c r="J109" s="21">
        <f>'Sources &amp; Uses'!$F$32*((J$95=Assumptions!$G$9-2)*Assumptions!$G$87+(J$95=Assumptions!$G$9-1)*Assumptions!$G$88+(J$95=Assumptions!$G$9)*Assumptions!$G$89)*(1+Assumptions!$G$189)^(J$95-2026)</f>
        <v/>
      </c>
      <c r="K109" s="21">
        <f>'Sources &amp; Uses'!$F$32*((K$95=Assumptions!$G$9-2)*Assumptions!$G$87+(K$95=Assumptions!$G$9-1)*Assumptions!$G$88+(K$95=Assumptions!$G$9)*Assumptions!$G$89)*(1+Assumptions!$G$189)^(K$95-2026)</f>
        <v/>
      </c>
      <c r="L109" s="21">
        <f>'Sources &amp; Uses'!$F$32*((L$95=Assumptions!$G$9-2)*Assumptions!$G$87+(L$95=Assumptions!$G$9-1)*Assumptions!$G$88+(L$95=Assumptions!$G$9)*Assumptions!$G$89)*(1+Assumptions!$G$189)^(L$95-2026)</f>
        <v/>
      </c>
      <c r="M109" s="21">
        <f>'Sources &amp; Uses'!$F$32*((M$95=Assumptions!$G$9-2)*Assumptions!$G$87+(M$95=Assumptions!$G$9-1)*Assumptions!$G$88+(M$95=Assumptions!$G$9)*Assumptions!$G$89)*(1+Assumptions!$G$189)^(M$95-2026)</f>
        <v/>
      </c>
      <c r="N109" s="47">
        <f>SUM(D109:M109)</f>
        <v/>
      </c>
      <c r="O109" s="47">
        <f>'Sources &amp; Uses'!$F$32</f>
        <v/>
      </c>
      <c r="P109" s="47">
        <f>N109-O109</f>
        <v/>
      </c>
    </row>
    <row r="110">
      <c r="A110" s="9" t="inlineStr">
        <is>
          <t>FF&amp;E, vehicles and operating equipment, Phase 1 share</t>
        </is>
      </c>
      <c r="B110" s="24" t="inlineStr">
        <is>
          <t>Phase 1</t>
        </is>
      </c>
      <c r="C110" s="24" t="inlineStr">
        <is>
          <t>Opening year</t>
        </is>
      </c>
      <c r="D110" s="21">
        <f>'Sources &amp; Uses'!$F$33*(D$95=Assumptions!$G$9)*(1+Assumptions!$G$189)^(D$95-2026)</f>
        <v/>
      </c>
      <c r="E110" s="21">
        <f>'Sources &amp; Uses'!$F$33*(E$95=Assumptions!$G$9)*(1+Assumptions!$G$189)^(E$95-2026)</f>
        <v/>
      </c>
      <c r="F110" s="21">
        <f>'Sources &amp; Uses'!$F$33*(F$95=Assumptions!$G$9)*(1+Assumptions!$G$189)^(F$95-2026)</f>
        <v/>
      </c>
      <c r="G110" s="21">
        <f>'Sources &amp; Uses'!$F$33*(G$95=Assumptions!$G$9)*(1+Assumptions!$G$189)^(G$95-2026)</f>
        <v/>
      </c>
      <c r="H110" s="21">
        <f>'Sources &amp; Uses'!$F$33*(H$95=Assumptions!$G$9)*(1+Assumptions!$G$189)^(H$95-2026)</f>
        <v/>
      </c>
      <c r="I110" s="21">
        <f>'Sources &amp; Uses'!$F$33*(I$95=Assumptions!$G$9)*(1+Assumptions!$G$189)^(I$95-2026)</f>
        <v/>
      </c>
      <c r="J110" s="21">
        <f>'Sources &amp; Uses'!$F$33*(J$95=Assumptions!$G$9)*(1+Assumptions!$G$189)^(J$95-2026)</f>
        <v/>
      </c>
      <c r="K110" s="21">
        <f>'Sources &amp; Uses'!$F$33*(K$95=Assumptions!$G$9)*(1+Assumptions!$G$189)^(K$95-2026)</f>
        <v/>
      </c>
      <c r="L110" s="21">
        <f>'Sources &amp; Uses'!$F$33*(L$95=Assumptions!$G$9)*(1+Assumptions!$G$189)^(L$95-2026)</f>
        <v/>
      </c>
      <c r="M110" s="21">
        <f>'Sources &amp; Uses'!$F$33*(M$95=Assumptions!$G$9)*(1+Assumptions!$G$189)^(M$95-2026)</f>
        <v/>
      </c>
      <c r="N110" s="47">
        <f>SUM(D110:M110)</f>
        <v/>
      </c>
      <c r="O110" s="47">
        <f>'Sources &amp; Uses'!$F$33</f>
        <v/>
      </c>
      <c r="P110" s="47">
        <f>N110-O110</f>
        <v/>
      </c>
    </row>
    <row r="111">
      <c r="A111" s="9" t="inlineStr">
        <is>
          <t>Soft costs, Phase 1 (design, engineering, acoustics, permits, fees, PM)</t>
        </is>
      </c>
      <c r="B111" s="24" t="inlineStr">
        <is>
          <t>Phase 1</t>
        </is>
      </c>
      <c r="C111" s="24" t="inlineStr">
        <is>
          <t>Opening -3 to 0</t>
        </is>
      </c>
      <c r="D111" s="21">
        <f>'Sources &amp; Uses'!$F$34*((D$95=Assumptions!$G$9-4)*Assumptions!$G$79+(D$95=Assumptions!$G$9-3)*Assumptions!$G$80+(D$95=Assumptions!$G$9-2)*Assumptions!$G$81+(D$95=Assumptions!$G$9-1)*Assumptions!$G$82+(D$95=Assumptions!$G$9)*Assumptions!$G$83)*(1+Assumptions!$G$189)^(D$95-2026)</f>
        <v/>
      </c>
      <c r="E111" s="21">
        <f>'Sources &amp; Uses'!$F$34*((E$95=Assumptions!$G$9-4)*Assumptions!$G$79+(E$95=Assumptions!$G$9-3)*Assumptions!$G$80+(E$95=Assumptions!$G$9-2)*Assumptions!$G$81+(E$95=Assumptions!$G$9-1)*Assumptions!$G$82+(E$95=Assumptions!$G$9)*Assumptions!$G$83)*(1+Assumptions!$G$189)^(E$95-2026)</f>
        <v/>
      </c>
      <c r="F111" s="21">
        <f>'Sources &amp; Uses'!$F$34*((F$95=Assumptions!$G$9-4)*Assumptions!$G$79+(F$95=Assumptions!$G$9-3)*Assumptions!$G$80+(F$95=Assumptions!$G$9-2)*Assumptions!$G$81+(F$95=Assumptions!$G$9-1)*Assumptions!$G$82+(F$95=Assumptions!$G$9)*Assumptions!$G$83)*(1+Assumptions!$G$189)^(F$95-2026)</f>
        <v/>
      </c>
      <c r="G111" s="21">
        <f>'Sources &amp; Uses'!$F$34*((G$95=Assumptions!$G$9-4)*Assumptions!$G$79+(G$95=Assumptions!$G$9-3)*Assumptions!$G$80+(G$95=Assumptions!$G$9-2)*Assumptions!$G$81+(G$95=Assumptions!$G$9-1)*Assumptions!$G$82+(G$95=Assumptions!$G$9)*Assumptions!$G$83)*(1+Assumptions!$G$189)^(G$95-2026)</f>
        <v/>
      </c>
      <c r="H111" s="21">
        <f>'Sources &amp; Uses'!$F$34*((H$95=Assumptions!$G$9-4)*Assumptions!$G$79+(H$95=Assumptions!$G$9-3)*Assumptions!$G$80+(H$95=Assumptions!$G$9-2)*Assumptions!$G$81+(H$95=Assumptions!$G$9-1)*Assumptions!$G$82+(H$95=Assumptions!$G$9)*Assumptions!$G$83)*(1+Assumptions!$G$189)^(H$95-2026)</f>
        <v/>
      </c>
      <c r="I111" s="21">
        <f>'Sources &amp; Uses'!$F$34*((I$95=Assumptions!$G$9-4)*Assumptions!$G$79+(I$95=Assumptions!$G$9-3)*Assumptions!$G$80+(I$95=Assumptions!$G$9-2)*Assumptions!$G$81+(I$95=Assumptions!$G$9-1)*Assumptions!$G$82+(I$95=Assumptions!$G$9)*Assumptions!$G$83)*(1+Assumptions!$G$189)^(I$95-2026)</f>
        <v/>
      </c>
      <c r="J111" s="21">
        <f>'Sources &amp; Uses'!$F$34*((J$95=Assumptions!$G$9-4)*Assumptions!$G$79+(J$95=Assumptions!$G$9-3)*Assumptions!$G$80+(J$95=Assumptions!$G$9-2)*Assumptions!$G$81+(J$95=Assumptions!$G$9-1)*Assumptions!$G$82+(J$95=Assumptions!$G$9)*Assumptions!$G$83)*(1+Assumptions!$G$189)^(J$95-2026)</f>
        <v/>
      </c>
      <c r="K111" s="21">
        <f>'Sources &amp; Uses'!$F$34*((K$95=Assumptions!$G$9-4)*Assumptions!$G$79+(K$95=Assumptions!$G$9-3)*Assumptions!$G$80+(K$95=Assumptions!$G$9-2)*Assumptions!$G$81+(K$95=Assumptions!$G$9-1)*Assumptions!$G$82+(K$95=Assumptions!$G$9)*Assumptions!$G$83)*(1+Assumptions!$G$189)^(K$95-2026)</f>
        <v/>
      </c>
      <c r="L111" s="21">
        <f>'Sources &amp; Uses'!$F$34*((L$95=Assumptions!$G$9-4)*Assumptions!$G$79+(L$95=Assumptions!$G$9-3)*Assumptions!$G$80+(L$95=Assumptions!$G$9-2)*Assumptions!$G$81+(L$95=Assumptions!$G$9-1)*Assumptions!$G$82+(L$95=Assumptions!$G$9)*Assumptions!$G$83)*(1+Assumptions!$G$189)^(L$95-2026)</f>
        <v/>
      </c>
      <c r="M111" s="21">
        <f>'Sources &amp; Uses'!$F$34*((M$95=Assumptions!$G$9-4)*Assumptions!$G$79+(M$95=Assumptions!$G$9-3)*Assumptions!$G$80+(M$95=Assumptions!$G$9-2)*Assumptions!$G$81+(M$95=Assumptions!$G$9-1)*Assumptions!$G$82+(M$95=Assumptions!$G$9)*Assumptions!$G$83)*(1+Assumptions!$G$189)^(M$95-2026)</f>
        <v/>
      </c>
      <c r="N111" s="47">
        <f>SUM(D111:M111)</f>
        <v/>
      </c>
      <c r="O111" s="47">
        <f>'Sources &amp; Uses'!$F$34</f>
        <v/>
      </c>
      <c r="P111" s="47">
        <f>N111-O111</f>
        <v/>
      </c>
    </row>
    <row r="112">
      <c r="A112" s="9" t="inlineStr">
        <is>
          <t>Contingency, Phase 1</t>
        </is>
      </c>
      <c r="B112" s="24" t="inlineStr">
        <is>
          <t>Phase 1</t>
        </is>
      </c>
      <c r="C112" s="24" t="inlineStr">
        <is>
          <t>Opening -1, 0</t>
        </is>
      </c>
      <c r="D112" s="21">
        <f>'Sources &amp; Uses'!$F$35*((D$95=Assumptions!$G$9-2)*Assumptions!$G$87+(D$95=Assumptions!$G$9-1)*Assumptions!$G$88+(D$95=Assumptions!$G$9)*Assumptions!$G$89)*(1+Assumptions!$G$189)^(D$95-2026)</f>
        <v/>
      </c>
      <c r="E112" s="21">
        <f>'Sources &amp; Uses'!$F$35*((E$95=Assumptions!$G$9-2)*Assumptions!$G$87+(E$95=Assumptions!$G$9-1)*Assumptions!$G$88+(E$95=Assumptions!$G$9)*Assumptions!$G$89)*(1+Assumptions!$G$189)^(E$95-2026)</f>
        <v/>
      </c>
      <c r="F112" s="21">
        <f>'Sources &amp; Uses'!$F$35*((F$95=Assumptions!$G$9-2)*Assumptions!$G$87+(F$95=Assumptions!$G$9-1)*Assumptions!$G$88+(F$95=Assumptions!$G$9)*Assumptions!$G$89)*(1+Assumptions!$G$189)^(F$95-2026)</f>
        <v/>
      </c>
      <c r="G112" s="21">
        <f>'Sources &amp; Uses'!$F$35*((G$95=Assumptions!$G$9-2)*Assumptions!$G$87+(G$95=Assumptions!$G$9-1)*Assumptions!$G$88+(G$95=Assumptions!$G$9)*Assumptions!$G$89)*(1+Assumptions!$G$189)^(G$95-2026)</f>
        <v/>
      </c>
      <c r="H112" s="21">
        <f>'Sources &amp; Uses'!$F$35*((H$95=Assumptions!$G$9-2)*Assumptions!$G$87+(H$95=Assumptions!$G$9-1)*Assumptions!$G$88+(H$95=Assumptions!$G$9)*Assumptions!$G$89)*(1+Assumptions!$G$189)^(H$95-2026)</f>
        <v/>
      </c>
      <c r="I112" s="21">
        <f>'Sources &amp; Uses'!$F$35*((I$95=Assumptions!$G$9-2)*Assumptions!$G$87+(I$95=Assumptions!$G$9-1)*Assumptions!$G$88+(I$95=Assumptions!$G$9)*Assumptions!$G$89)*(1+Assumptions!$G$189)^(I$95-2026)</f>
        <v/>
      </c>
      <c r="J112" s="21">
        <f>'Sources &amp; Uses'!$F$35*((J$95=Assumptions!$G$9-2)*Assumptions!$G$87+(J$95=Assumptions!$G$9-1)*Assumptions!$G$88+(J$95=Assumptions!$G$9)*Assumptions!$G$89)*(1+Assumptions!$G$189)^(J$95-2026)</f>
        <v/>
      </c>
      <c r="K112" s="21">
        <f>'Sources &amp; Uses'!$F$35*((K$95=Assumptions!$G$9-2)*Assumptions!$G$87+(K$95=Assumptions!$G$9-1)*Assumptions!$G$88+(K$95=Assumptions!$G$9)*Assumptions!$G$89)*(1+Assumptions!$G$189)^(K$95-2026)</f>
        <v/>
      </c>
      <c r="L112" s="21">
        <f>'Sources &amp; Uses'!$F$35*((L$95=Assumptions!$G$9-2)*Assumptions!$G$87+(L$95=Assumptions!$G$9-1)*Assumptions!$G$88+(L$95=Assumptions!$G$9)*Assumptions!$G$89)*(1+Assumptions!$G$189)^(L$95-2026)</f>
        <v/>
      </c>
      <c r="M112" s="21">
        <f>'Sources &amp; Uses'!$F$35*((M$95=Assumptions!$G$9-2)*Assumptions!$G$87+(M$95=Assumptions!$G$9-1)*Assumptions!$G$88+(M$95=Assumptions!$G$9)*Assumptions!$G$89)*(1+Assumptions!$G$189)^(M$95-2026)</f>
        <v/>
      </c>
      <c r="N112" s="47">
        <f>SUM(D112:M112)</f>
        <v/>
      </c>
      <c r="O112" s="47">
        <f>'Sources &amp; Uses'!$F$35</f>
        <v/>
      </c>
      <c r="P112" s="47">
        <f>N112-O112</f>
        <v/>
      </c>
    </row>
    <row r="113">
      <c r="A113" s="9" t="inlineStr">
        <is>
          <t>Site infrastructure, Phase 2 share</t>
        </is>
      </c>
      <c r="B113" s="24" t="inlineStr">
        <is>
          <t>Phase 2</t>
        </is>
      </c>
      <c r="C113" s="24" t="inlineStr">
        <is>
          <t>Opening -1, 0</t>
        </is>
      </c>
      <c r="D113" s="21">
        <f>'Sources &amp; Uses'!$F$38*((D$95=Assumptions!$G$10-2)*Assumptions!$G$87+(D$95=Assumptions!$G$10-1)*Assumptions!$G$88+(D$95=Assumptions!$G$10)*Assumptions!$G$89)*(1+Assumptions!$G$189)^(D$95-2026)</f>
        <v/>
      </c>
      <c r="E113" s="21">
        <f>'Sources &amp; Uses'!$F$38*((E$95=Assumptions!$G$10-2)*Assumptions!$G$87+(E$95=Assumptions!$G$10-1)*Assumptions!$G$88+(E$95=Assumptions!$G$10)*Assumptions!$G$89)*(1+Assumptions!$G$189)^(E$95-2026)</f>
        <v/>
      </c>
      <c r="F113" s="21">
        <f>'Sources &amp; Uses'!$F$38*((F$95=Assumptions!$G$10-2)*Assumptions!$G$87+(F$95=Assumptions!$G$10-1)*Assumptions!$G$88+(F$95=Assumptions!$G$10)*Assumptions!$G$89)*(1+Assumptions!$G$189)^(F$95-2026)</f>
        <v/>
      </c>
      <c r="G113" s="21">
        <f>'Sources &amp; Uses'!$F$38*((G$95=Assumptions!$G$10-2)*Assumptions!$G$87+(G$95=Assumptions!$G$10-1)*Assumptions!$G$88+(G$95=Assumptions!$G$10)*Assumptions!$G$89)*(1+Assumptions!$G$189)^(G$95-2026)</f>
        <v/>
      </c>
      <c r="H113" s="21">
        <f>'Sources &amp; Uses'!$F$38*((H$95=Assumptions!$G$10-2)*Assumptions!$G$87+(H$95=Assumptions!$G$10-1)*Assumptions!$G$88+(H$95=Assumptions!$G$10)*Assumptions!$G$89)*(1+Assumptions!$G$189)^(H$95-2026)</f>
        <v/>
      </c>
      <c r="I113" s="21">
        <f>'Sources &amp; Uses'!$F$38*((I$95=Assumptions!$G$10-2)*Assumptions!$G$87+(I$95=Assumptions!$G$10-1)*Assumptions!$G$88+(I$95=Assumptions!$G$10)*Assumptions!$G$89)*(1+Assumptions!$G$189)^(I$95-2026)</f>
        <v/>
      </c>
      <c r="J113" s="21">
        <f>'Sources &amp; Uses'!$F$38*((J$95=Assumptions!$G$10-2)*Assumptions!$G$87+(J$95=Assumptions!$G$10-1)*Assumptions!$G$88+(J$95=Assumptions!$G$10)*Assumptions!$G$89)*(1+Assumptions!$G$189)^(J$95-2026)</f>
        <v/>
      </c>
      <c r="K113" s="21">
        <f>'Sources &amp; Uses'!$F$38*((K$95=Assumptions!$G$10-2)*Assumptions!$G$87+(K$95=Assumptions!$G$10-1)*Assumptions!$G$88+(K$95=Assumptions!$G$10)*Assumptions!$G$89)*(1+Assumptions!$G$189)^(K$95-2026)</f>
        <v/>
      </c>
      <c r="L113" s="21">
        <f>'Sources &amp; Uses'!$F$38*((L$95=Assumptions!$G$10-2)*Assumptions!$G$87+(L$95=Assumptions!$G$10-1)*Assumptions!$G$88+(L$95=Assumptions!$G$10)*Assumptions!$G$89)*(1+Assumptions!$G$189)^(L$95-2026)</f>
        <v/>
      </c>
      <c r="M113" s="21">
        <f>'Sources &amp; Uses'!$F$38*((M$95=Assumptions!$G$10-2)*Assumptions!$G$87+(M$95=Assumptions!$G$10-1)*Assumptions!$G$88+(M$95=Assumptions!$G$10)*Assumptions!$G$89)*(1+Assumptions!$G$189)^(M$95-2026)</f>
        <v/>
      </c>
      <c r="N113" s="47">
        <f>SUM(D113:M113)</f>
        <v/>
      </c>
      <c r="O113" s="47">
        <f>'Sources &amp; Uses'!$F$38</f>
        <v/>
      </c>
      <c r="P113" s="47">
        <f>N113-O113</f>
        <v/>
      </c>
    </row>
    <row r="114">
      <c r="A114" s="9" t="inlineStr">
        <is>
          <t>Recording studio, 2,500 sf, building and acoustic fit-out</t>
        </is>
      </c>
      <c r="B114" s="24" t="inlineStr">
        <is>
          <t>Phase 2</t>
        </is>
      </c>
      <c r="C114" s="24" t="inlineStr">
        <is>
          <t>Opening -1, 0</t>
        </is>
      </c>
      <c r="D114" s="21">
        <f>'Sources &amp; Uses'!$F$39*((D$95=Assumptions!$G$10-2)*Assumptions!$G$87+(D$95=Assumptions!$G$10-1)*Assumptions!$G$88+(D$95=Assumptions!$G$10)*Assumptions!$G$89)*(1+Assumptions!$G$189)^(D$95-2026)</f>
        <v/>
      </c>
      <c r="E114" s="21">
        <f>'Sources &amp; Uses'!$F$39*((E$95=Assumptions!$G$10-2)*Assumptions!$G$87+(E$95=Assumptions!$G$10-1)*Assumptions!$G$88+(E$95=Assumptions!$G$10)*Assumptions!$G$89)*(1+Assumptions!$G$189)^(E$95-2026)</f>
        <v/>
      </c>
      <c r="F114" s="21">
        <f>'Sources &amp; Uses'!$F$39*((F$95=Assumptions!$G$10-2)*Assumptions!$G$87+(F$95=Assumptions!$G$10-1)*Assumptions!$G$88+(F$95=Assumptions!$G$10)*Assumptions!$G$89)*(1+Assumptions!$G$189)^(F$95-2026)</f>
        <v/>
      </c>
      <c r="G114" s="21">
        <f>'Sources &amp; Uses'!$F$39*((G$95=Assumptions!$G$10-2)*Assumptions!$G$87+(G$95=Assumptions!$G$10-1)*Assumptions!$G$88+(G$95=Assumptions!$G$10)*Assumptions!$G$89)*(1+Assumptions!$G$189)^(G$95-2026)</f>
        <v/>
      </c>
      <c r="H114" s="21">
        <f>'Sources &amp; Uses'!$F$39*((H$95=Assumptions!$G$10-2)*Assumptions!$G$87+(H$95=Assumptions!$G$10-1)*Assumptions!$G$88+(H$95=Assumptions!$G$10)*Assumptions!$G$89)*(1+Assumptions!$G$189)^(H$95-2026)</f>
        <v/>
      </c>
      <c r="I114" s="21">
        <f>'Sources &amp; Uses'!$F$39*((I$95=Assumptions!$G$10-2)*Assumptions!$G$87+(I$95=Assumptions!$G$10-1)*Assumptions!$G$88+(I$95=Assumptions!$G$10)*Assumptions!$G$89)*(1+Assumptions!$G$189)^(I$95-2026)</f>
        <v/>
      </c>
      <c r="J114" s="21">
        <f>'Sources &amp; Uses'!$F$39*((J$95=Assumptions!$G$10-2)*Assumptions!$G$87+(J$95=Assumptions!$G$10-1)*Assumptions!$G$88+(J$95=Assumptions!$G$10)*Assumptions!$G$89)*(1+Assumptions!$G$189)^(J$95-2026)</f>
        <v/>
      </c>
      <c r="K114" s="21">
        <f>'Sources &amp; Uses'!$F$39*((K$95=Assumptions!$G$10-2)*Assumptions!$G$87+(K$95=Assumptions!$G$10-1)*Assumptions!$G$88+(K$95=Assumptions!$G$10)*Assumptions!$G$89)*(1+Assumptions!$G$189)^(K$95-2026)</f>
        <v/>
      </c>
      <c r="L114" s="21">
        <f>'Sources &amp; Uses'!$F$39*((L$95=Assumptions!$G$10-2)*Assumptions!$G$87+(L$95=Assumptions!$G$10-1)*Assumptions!$G$88+(L$95=Assumptions!$G$10)*Assumptions!$G$89)*(1+Assumptions!$G$189)^(L$95-2026)</f>
        <v/>
      </c>
      <c r="M114" s="21">
        <f>'Sources &amp; Uses'!$F$39*((M$95=Assumptions!$G$10-2)*Assumptions!$G$87+(M$95=Assumptions!$G$10-1)*Assumptions!$G$88+(M$95=Assumptions!$G$10)*Assumptions!$G$89)*(1+Assumptions!$G$189)^(M$95-2026)</f>
        <v/>
      </c>
      <c r="N114" s="47">
        <f>SUM(D114:M114)</f>
        <v/>
      </c>
      <c r="O114" s="47">
        <f>'Sources &amp; Uses'!$F$39</f>
        <v/>
      </c>
      <c r="P114" s="47">
        <f>N114-O114</f>
        <v/>
      </c>
    </row>
    <row r="115">
      <c r="A115" s="9" t="inlineStr">
        <is>
          <t>Studio gear and instruments (console, monitoring, microphones, outboard, piano, backline)</t>
        </is>
      </c>
      <c r="B115" s="24" t="inlineStr">
        <is>
          <t>Phase 2</t>
        </is>
      </c>
      <c r="C115" s="24" t="inlineStr">
        <is>
          <t>Opening -1, 0</t>
        </is>
      </c>
      <c r="D115" s="21">
        <f>'Sources &amp; Uses'!$F$40*((D$95=Assumptions!$G$10-1)*Assumptions!$G$95+(D$95=Assumptions!$G$10)*Assumptions!$G$96)*(1+Assumptions!$G$189)^(D$95-2026)</f>
        <v/>
      </c>
      <c r="E115" s="21">
        <f>'Sources &amp; Uses'!$F$40*((E$95=Assumptions!$G$10-1)*Assumptions!$G$95+(E$95=Assumptions!$G$10)*Assumptions!$G$96)*(1+Assumptions!$G$189)^(E$95-2026)</f>
        <v/>
      </c>
      <c r="F115" s="21">
        <f>'Sources &amp; Uses'!$F$40*((F$95=Assumptions!$G$10-1)*Assumptions!$G$95+(F$95=Assumptions!$G$10)*Assumptions!$G$96)*(1+Assumptions!$G$189)^(F$95-2026)</f>
        <v/>
      </c>
      <c r="G115" s="21">
        <f>'Sources &amp; Uses'!$F$40*((G$95=Assumptions!$G$10-1)*Assumptions!$G$95+(G$95=Assumptions!$G$10)*Assumptions!$G$96)*(1+Assumptions!$G$189)^(G$95-2026)</f>
        <v/>
      </c>
      <c r="H115" s="21">
        <f>'Sources &amp; Uses'!$F$40*((H$95=Assumptions!$G$10-1)*Assumptions!$G$95+(H$95=Assumptions!$G$10)*Assumptions!$G$96)*(1+Assumptions!$G$189)^(H$95-2026)</f>
        <v/>
      </c>
      <c r="I115" s="21">
        <f>'Sources &amp; Uses'!$F$40*((I$95=Assumptions!$G$10-1)*Assumptions!$G$95+(I$95=Assumptions!$G$10)*Assumptions!$G$96)*(1+Assumptions!$G$189)^(I$95-2026)</f>
        <v/>
      </c>
      <c r="J115" s="21">
        <f>'Sources &amp; Uses'!$F$40*((J$95=Assumptions!$G$10-1)*Assumptions!$G$95+(J$95=Assumptions!$G$10)*Assumptions!$G$96)*(1+Assumptions!$G$189)^(J$95-2026)</f>
        <v/>
      </c>
      <c r="K115" s="21">
        <f>'Sources &amp; Uses'!$F$40*((K$95=Assumptions!$G$10-1)*Assumptions!$G$95+(K$95=Assumptions!$G$10)*Assumptions!$G$96)*(1+Assumptions!$G$189)^(K$95-2026)</f>
        <v/>
      </c>
      <c r="L115" s="21">
        <f>'Sources &amp; Uses'!$F$40*((L$95=Assumptions!$G$10-1)*Assumptions!$G$95+(L$95=Assumptions!$G$10)*Assumptions!$G$96)*(1+Assumptions!$G$189)^(L$95-2026)</f>
        <v/>
      </c>
      <c r="M115" s="21">
        <f>'Sources &amp; Uses'!$F$40*((M$95=Assumptions!$G$10-1)*Assumptions!$G$95+(M$95=Assumptions!$G$10)*Assumptions!$G$96)*(1+Assumptions!$G$189)^(M$95-2026)</f>
        <v/>
      </c>
      <c r="N115" s="47">
        <f>SUM(D115:M115)</f>
        <v/>
      </c>
      <c r="O115" s="47">
        <f>'Sources &amp; Uses'!$F$40</f>
        <v/>
      </c>
      <c r="P115" s="47">
        <f>N115-O115</f>
        <v/>
      </c>
    </row>
    <row r="116">
      <c r="A116" s="9" t="inlineStr">
        <is>
          <t>Instruments (included in studio gear and instruments)</t>
        </is>
      </c>
      <c r="B116" s="24" t="inlineStr">
        <is>
          <t>Phase 2</t>
        </is>
      </c>
      <c r="C116" s="24" t="inlineStr">
        <is>
          <t>Opening -1, 0</t>
        </is>
      </c>
      <c r="D116" s="21">
        <f>'Sources &amp; Uses'!$F$41*((D$95=Assumptions!$G$10-1)*Assumptions!$G$95+(D$95=Assumptions!$G$10)*Assumptions!$G$96)*(1+Assumptions!$G$189)^(D$95-2026)</f>
        <v/>
      </c>
      <c r="E116" s="21">
        <f>'Sources &amp; Uses'!$F$41*((E$95=Assumptions!$G$10-1)*Assumptions!$G$95+(E$95=Assumptions!$G$10)*Assumptions!$G$96)*(1+Assumptions!$G$189)^(E$95-2026)</f>
        <v/>
      </c>
      <c r="F116" s="21">
        <f>'Sources &amp; Uses'!$F$41*((F$95=Assumptions!$G$10-1)*Assumptions!$G$95+(F$95=Assumptions!$G$10)*Assumptions!$G$96)*(1+Assumptions!$G$189)^(F$95-2026)</f>
        <v/>
      </c>
      <c r="G116" s="21">
        <f>'Sources &amp; Uses'!$F$41*((G$95=Assumptions!$G$10-1)*Assumptions!$G$95+(G$95=Assumptions!$G$10)*Assumptions!$G$96)*(1+Assumptions!$G$189)^(G$95-2026)</f>
        <v/>
      </c>
      <c r="H116" s="21">
        <f>'Sources &amp; Uses'!$F$41*((H$95=Assumptions!$G$10-1)*Assumptions!$G$95+(H$95=Assumptions!$G$10)*Assumptions!$G$96)*(1+Assumptions!$G$189)^(H$95-2026)</f>
        <v/>
      </c>
      <c r="I116" s="21">
        <f>'Sources &amp; Uses'!$F$41*((I$95=Assumptions!$G$10-1)*Assumptions!$G$95+(I$95=Assumptions!$G$10)*Assumptions!$G$96)*(1+Assumptions!$G$189)^(I$95-2026)</f>
        <v/>
      </c>
      <c r="J116" s="21">
        <f>'Sources &amp; Uses'!$F$41*((J$95=Assumptions!$G$10-1)*Assumptions!$G$95+(J$95=Assumptions!$G$10)*Assumptions!$G$96)*(1+Assumptions!$G$189)^(J$95-2026)</f>
        <v/>
      </c>
      <c r="K116" s="21">
        <f>'Sources &amp; Uses'!$F$41*((K$95=Assumptions!$G$10-1)*Assumptions!$G$95+(K$95=Assumptions!$G$10)*Assumptions!$G$96)*(1+Assumptions!$G$189)^(K$95-2026)</f>
        <v/>
      </c>
      <c r="L116" s="21">
        <f>'Sources &amp; Uses'!$F$41*((L$95=Assumptions!$G$10-1)*Assumptions!$G$95+(L$95=Assumptions!$G$10)*Assumptions!$G$96)*(1+Assumptions!$G$189)^(L$95-2026)</f>
        <v/>
      </c>
      <c r="M116" s="21">
        <f>'Sources &amp; Uses'!$F$41*((M$95=Assumptions!$G$10-1)*Assumptions!$G$95+(M$95=Assumptions!$G$10)*Assumptions!$G$96)*(1+Assumptions!$G$189)^(M$95-2026)</f>
        <v/>
      </c>
      <c r="N116" s="47">
        <f>SUM(D116:M116)</f>
        <v/>
      </c>
      <c r="O116" s="47">
        <f>'Sources &amp; Uses'!$F$41</f>
        <v/>
      </c>
      <c r="P116" s="47">
        <f>N116-O116</f>
        <v/>
      </c>
    </row>
    <row r="117">
      <c r="A117" s="9" t="inlineStr">
        <is>
          <t>Arcana cabins, Phase 2 (none: all 12 are in Phase 1)</t>
        </is>
      </c>
      <c r="B117" s="24" t="inlineStr">
        <is>
          <t>Phase 2</t>
        </is>
      </c>
      <c r="C117" s="24" t="inlineStr">
        <is>
          <t>50% order, 50% delivery</t>
        </is>
      </c>
      <c r="D117" s="21">
        <f>'Sources &amp; Uses'!$F$42*((D$95=Assumptions!$G$10-1)*Assumptions!$G$93+(D$95=Assumptions!$G$10)*Assumptions!$G$94)*(1+Assumptions!$G$189)^(D$95-2026)</f>
        <v/>
      </c>
      <c r="E117" s="21">
        <f>'Sources &amp; Uses'!$F$42*((E$95=Assumptions!$G$10-1)*Assumptions!$G$93+(E$95=Assumptions!$G$10)*Assumptions!$G$94)*(1+Assumptions!$G$189)^(E$95-2026)</f>
        <v/>
      </c>
      <c r="F117" s="21">
        <f>'Sources &amp; Uses'!$F$42*((F$95=Assumptions!$G$10-1)*Assumptions!$G$93+(F$95=Assumptions!$G$10)*Assumptions!$G$94)*(1+Assumptions!$G$189)^(F$95-2026)</f>
        <v/>
      </c>
      <c r="G117" s="21">
        <f>'Sources &amp; Uses'!$F$42*((G$95=Assumptions!$G$10-1)*Assumptions!$G$93+(G$95=Assumptions!$G$10)*Assumptions!$G$94)*(1+Assumptions!$G$189)^(G$95-2026)</f>
        <v/>
      </c>
      <c r="H117" s="21">
        <f>'Sources &amp; Uses'!$F$42*((H$95=Assumptions!$G$10-1)*Assumptions!$G$93+(H$95=Assumptions!$G$10)*Assumptions!$G$94)*(1+Assumptions!$G$189)^(H$95-2026)</f>
        <v/>
      </c>
      <c r="I117" s="21">
        <f>'Sources &amp; Uses'!$F$42*((I$95=Assumptions!$G$10-1)*Assumptions!$G$93+(I$95=Assumptions!$G$10)*Assumptions!$G$94)*(1+Assumptions!$G$189)^(I$95-2026)</f>
        <v/>
      </c>
      <c r="J117" s="21">
        <f>'Sources &amp; Uses'!$F$42*((J$95=Assumptions!$G$10-1)*Assumptions!$G$93+(J$95=Assumptions!$G$10)*Assumptions!$G$94)*(1+Assumptions!$G$189)^(J$95-2026)</f>
        <v/>
      </c>
      <c r="K117" s="21">
        <f>'Sources &amp; Uses'!$F$42*((K$95=Assumptions!$G$10-1)*Assumptions!$G$93+(K$95=Assumptions!$G$10)*Assumptions!$G$94)*(1+Assumptions!$G$189)^(K$95-2026)</f>
        <v/>
      </c>
      <c r="L117" s="21">
        <f>'Sources &amp; Uses'!$F$42*((L$95=Assumptions!$G$10-1)*Assumptions!$G$93+(L$95=Assumptions!$G$10)*Assumptions!$G$94)*(1+Assumptions!$G$189)^(L$95-2026)</f>
        <v/>
      </c>
      <c r="M117" s="21">
        <f>'Sources &amp; Uses'!$F$42*((M$95=Assumptions!$G$10-1)*Assumptions!$G$93+(M$95=Assumptions!$G$10)*Assumptions!$G$94)*(1+Assumptions!$G$189)^(M$95-2026)</f>
        <v/>
      </c>
      <c r="N117" s="47">
        <f>SUM(D117:M117)</f>
        <v/>
      </c>
      <c r="O117" s="47">
        <f>'Sources &amp; Uses'!$F$42</f>
        <v/>
      </c>
      <c r="P117" s="47">
        <f>N117-O117</f>
        <v/>
      </c>
    </row>
    <row r="118">
      <c r="A118" s="9" t="inlineStr">
        <is>
          <t>Residence and home, 3,000 sf</t>
        </is>
      </c>
      <c r="B118" s="24" t="inlineStr">
        <is>
          <t>Phase 2</t>
        </is>
      </c>
      <c r="C118" s="24" t="inlineStr">
        <is>
          <t>Opening -1, 0</t>
        </is>
      </c>
      <c r="D118" s="21">
        <f>'Sources &amp; Uses'!$F$43*((D$95=Assumptions!$G$10-2)*Assumptions!$G$87+(D$95=Assumptions!$G$10-1)*Assumptions!$G$88+(D$95=Assumptions!$G$10)*Assumptions!$G$89)*(1+Assumptions!$G$189)^(D$95-2026)</f>
        <v/>
      </c>
      <c r="E118" s="21">
        <f>'Sources &amp; Uses'!$F$43*((E$95=Assumptions!$G$10-2)*Assumptions!$G$87+(E$95=Assumptions!$G$10-1)*Assumptions!$G$88+(E$95=Assumptions!$G$10)*Assumptions!$G$89)*(1+Assumptions!$G$189)^(E$95-2026)</f>
        <v/>
      </c>
      <c r="F118" s="21">
        <f>'Sources &amp; Uses'!$F$43*((F$95=Assumptions!$G$10-2)*Assumptions!$G$87+(F$95=Assumptions!$G$10-1)*Assumptions!$G$88+(F$95=Assumptions!$G$10)*Assumptions!$G$89)*(1+Assumptions!$G$189)^(F$95-2026)</f>
        <v/>
      </c>
      <c r="G118" s="21">
        <f>'Sources &amp; Uses'!$F$43*((G$95=Assumptions!$G$10-2)*Assumptions!$G$87+(G$95=Assumptions!$G$10-1)*Assumptions!$G$88+(G$95=Assumptions!$G$10)*Assumptions!$G$89)*(1+Assumptions!$G$189)^(G$95-2026)</f>
        <v/>
      </c>
      <c r="H118" s="21">
        <f>'Sources &amp; Uses'!$F$43*((H$95=Assumptions!$G$10-2)*Assumptions!$G$87+(H$95=Assumptions!$G$10-1)*Assumptions!$G$88+(H$95=Assumptions!$G$10)*Assumptions!$G$89)*(1+Assumptions!$G$189)^(H$95-2026)</f>
        <v/>
      </c>
      <c r="I118" s="21">
        <f>'Sources &amp; Uses'!$F$43*((I$95=Assumptions!$G$10-2)*Assumptions!$G$87+(I$95=Assumptions!$G$10-1)*Assumptions!$G$88+(I$95=Assumptions!$G$10)*Assumptions!$G$89)*(1+Assumptions!$G$189)^(I$95-2026)</f>
        <v/>
      </c>
      <c r="J118" s="21">
        <f>'Sources &amp; Uses'!$F$43*((J$95=Assumptions!$G$10-2)*Assumptions!$G$87+(J$95=Assumptions!$G$10-1)*Assumptions!$G$88+(J$95=Assumptions!$G$10)*Assumptions!$G$89)*(1+Assumptions!$G$189)^(J$95-2026)</f>
        <v/>
      </c>
      <c r="K118" s="21">
        <f>'Sources &amp; Uses'!$F$43*((K$95=Assumptions!$G$10-2)*Assumptions!$G$87+(K$95=Assumptions!$G$10-1)*Assumptions!$G$88+(K$95=Assumptions!$G$10)*Assumptions!$G$89)*(1+Assumptions!$G$189)^(K$95-2026)</f>
        <v/>
      </c>
      <c r="L118" s="21">
        <f>'Sources &amp; Uses'!$F$43*((L$95=Assumptions!$G$10-2)*Assumptions!$G$87+(L$95=Assumptions!$G$10-1)*Assumptions!$G$88+(L$95=Assumptions!$G$10)*Assumptions!$G$89)*(1+Assumptions!$G$189)^(L$95-2026)</f>
        <v/>
      </c>
      <c r="M118" s="21">
        <f>'Sources &amp; Uses'!$F$43*((M$95=Assumptions!$G$10-2)*Assumptions!$G$87+(M$95=Assumptions!$G$10-1)*Assumptions!$G$88+(M$95=Assumptions!$G$10)*Assumptions!$G$89)*(1+Assumptions!$G$189)^(M$95-2026)</f>
        <v/>
      </c>
      <c r="N118" s="47">
        <f>SUM(D118:M118)</f>
        <v/>
      </c>
      <c r="O118" s="47">
        <f>'Sources &amp; Uses'!$F$43</f>
        <v/>
      </c>
      <c r="P118" s="47">
        <f>N118-O118</f>
        <v/>
      </c>
    </row>
    <row r="119">
      <c r="A119" s="9" t="inlineStr">
        <is>
          <t>Maintenance building and staff unit, Phase 2 share (none)</t>
        </is>
      </c>
      <c r="B119" s="24" t="inlineStr">
        <is>
          <t>Phase 2</t>
        </is>
      </c>
      <c r="C119" s="24" t="inlineStr">
        <is>
          <t>Opening -1, 0</t>
        </is>
      </c>
      <c r="D119" s="21">
        <f>'Sources &amp; Uses'!$F$44*((D$95=Assumptions!$G$10-2)*Assumptions!$G$87+(D$95=Assumptions!$G$10-1)*Assumptions!$G$88+(D$95=Assumptions!$G$10)*Assumptions!$G$89)*(1+Assumptions!$G$189)^(D$95-2026)</f>
        <v/>
      </c>
      <c r="E119" s="21">
        <f>'Sources &amp; Uses'!$F$44*((E$95=Assumptions!$G$10-2)*Assumptions!$G$87+(E$95=Assumptions!$G$10-1)*Assumptions!$G$88+(E$95=Assumptions!$G$10)*Assumptions!$G$89)*(1+Assumptions!$G$189)^(E$95-2026)</f>
        <v/>
      </c>
      <c r="F119" s="21">
        <f>'Sources &amp; Uses'!$F$44*((F$95=Assumptions!$G$10-2)*Assumptions!$G$87+(F$95=Assumptions!$G$10-1)*Assumptions!$G$88+(F$95=Assumptions!$G$10)*Assumptions!$G$89)*(1+Assumptions!$G$189)^(F$95-2026)</f>
        <v/>
      </c>
      <c r="G119" s="21">
        <f>'Sources &amp; Uses'!$F$44*((G$95=Assumptions!$G$10-2)*Assumptions!$G$87+(G$95=Assumptions!$G$10-1)*Assumptions!$G$88+(G$95=Assumptions!$G$10)*Assumptions!$G$89)*(1+Assumptions!$G$189)^(G$95-2026)</f>
        <v/>
      </c>
      <c r="H119" s="21">
        <f>'Sources &amp; Uses'!$F$44*((H$95=Assumptions!$G$10-2)*Assumptions!$G$87+(H$95=Assumptions!$G$10-1)*Assumptions!$G$88+(H$95=Assumptions!$G$10)*Assumptions!$G$89)*(1+Assumptions!$G$189)^(H$95-2026)</f>
        <v/>
      </c>
      <c r="I119" s="21">
        <f>'Sources &amp; Uses'!$F$44*((I$95=Assumptions!$G$10-2)*Assumptions!$G$87+(I$95=Assumptions!$G$10-1)*Assumptions!$G$88+(I$95=Assumptions!$G$10)*Assumptions!$G$89)*(1+Assumptions!$G$189)^(I$95-2026)</f>
        <v/>
      </c>
      <c r="J119" s="21">
        <f>'Sources &amp; Uses'!$F$44*((J$95=Assumptions!$G$10-2)*Assumptions!$G$87+(J$95=Assumptions!$G$10-1)*Assumptions!$G$88+(J$95=Assumptions!$G$10)*Assumptions!$G$89)*(1+Assumptions!$G$189)^(J$95-2026)</f>
        <v/>
      </c>
      <c r="K119" s="21">
        <f>'Sources &amp; Uses'!$F$44*((K$95=Assumptions!$G$10-2)*Assumptions!$G$87+(K$95=Assumptions!$G$10-1)*Assumptions!$G$88+(K$95=Assumptions!$G$10)*Assumptions!$G$89)*(1+Assumptions!$G$189)^(K$95-2026)</f>
        <v/>
      </c>
      <c r="L119" s="21">
        <f>'Sources &amp; Uses'!$F$44*((L$95=Assumptions!$G$10-2)*Assumptions!$G$87+(L$95=Assumptions!$G$10-1)*Assumptions!$G$88+(L$95=Assumptions!$G$10)*Assumptions!$G$89)*(1+Assumptions!$G$189)^(L$95-2026)</f>
        <v/>
      </c>
      <c r="M119" s="21">
        <f>'Sources &amp; Uses'!$F$44*((M$95=Assumptions!$G$10-2)*Assumptions!$G$87+(M$95=Assumptions!$G$10-1)*Assumptions!$G$88+(M$95=Assumptions!$G$10)*Assumptions!$G$89)*(1+Assumptions!$G$189)^(M$95-2026)</f>
        <v/>
      </c>
      <c r="N119" s="47">
        <f>SUM(D119:M119)</f>
        <v/>
      </c>
      <c r="O119" s="47">
        <f>'Sources &amp; Uses'!$F$44</f>
        <v/>
      </c>
      <c r="P119" s="47">
        <f>N119-O119</f>
        <v/>
      </c>
    </row>
    <row r="120">
      <c r="A120" s="9" t="inlineStr">
        <is>
          <t>Landscaping and artwork, Phase 2 share</t>
        </is>
      </c>
      <c r="B120" s="24" t="inlineStr">
        <is>
          <t>Phase 2</t>
        </is>
      </c>
      <c r="C120" s="24" t="inlineStr">
        <is>
          <t>Opening -1, 0</t>
        </is>
      </c>
      <c r="D120" s="21">
        <f>'Sources &amp; Uses'!$F$45*((D$95=Assumptions!$G$10-2)*Assumptions!$G$87+(D$95=Assumptions!$G$10-1)*Assumptions!$G$88+(D$95=Assumptions!$G$10)*Assumptions!$G$89)*(1+Assumptions!$G$189)^(D$95-2026)</f>
        <v/>
      </c>
      <c r="E120" s="21">
        <f>'Sources &amp; Uses'!$F$45*((E$95=Assumptions!$G$10-2)*Assumptions!$G$87+(E$95=Assumptions!$G$10-1)*Assumptions!$G$88+(E$95=Assumptions!$G$10)*Assumptions!$G$89)*(1+Assumptions!$G$189)^(E$95-2026)</f>
        <v/>
      </c>
      <c r="F120" s="21">
        <f>'Sources &amp; Uses'!$F$45*((F$95=Assumptions!$G$10-2)*Assumptions!$G$87+(F$95=Assumptions!$G$10-1)*Assumptions!$G$88+(F$95=Assumptions!$G$10)*Assumptions!$G$89)*(1+Assumptions!$G$189)^(F$95-2026)</f>
        <v/>
      </c>
      <c r="G120" s="21">
        <f>'Sources &amp; Uses'!$F$45*((G$95=Assumptions!$G$10-2)*Assumptions!$G$87+(G$95=Assumptions!$G$10-1)*Assumptions!$G$88+(G$95=Assumptions!$G$10)*Assumptions!$G$89)*(1+Assumptions!$G$189)^(G$95-2026)</f>
        <v/>
      </c>
      <c r="H120" s="21">
        <f>'Sources &amp; Uses'!$F$45*((H$95=Assumptions!$G$10-2)*Assumptions!$G$87+(H$95=Assumptions!$G$10-1)*Assumptions!$G$88+(H$95=Assumptions!$G$10)*Assumptions!$G$89)*(1+Assumptions!$G$189)^(H$95-2026)</f>
        <v/>
      </c>
      <c r="I120" s="21">
        <f>'Sources &amp; Uses'!$F$45*((I$95=Assumptions!$G$10-2)*Assumptions!$G$87+(I$95=Assumptions!$G$10-1)*Assumptions!$G$88+(I$95=Assumptions!$G$10)*Assumptions!$G$89)*(1+Assumptions!$G$189)^(I$95-2026)</f>
        <v/>
      </c>
      <c r="J120" s="21">
        <f>'Sources &amp; Uses'!$F$45*((J$95=Assumptions!$G$10-2)*Assumptions!$G$87+(J$95=Assumptions!$G$10-1)*Assumptions!$G$88+(J$95=Assumptions!$G$10)*Assumptions!$G$89)*(1+Assumptions!$G$189)^(J$95-2026)</f>
        <v/>
      </c>
      <c r="K120" s="21">
        <f>'Sources &amp; Uses'!$F$45*((K$95=Assumptions!$G$10-2)*Assumptions!$G$87+(K$95=Assumptions!$G$10-1)*Assumptions!$G$88+(K$95=Assumptions!$G$10)*Assumptions!$G$89)*(1+Assumptions!$G$189)^(K$95-2026)</f>
        <v/>
      </c>
      <c r="L120" s="21">
        <f>'Sources &amp; Uses'!$F$45*((L$95=Assumptions!$G$10-2)*Assumptions!$G$87+(L$95=Assumptions!$G$10-1)*Assumptions!$G$88+(L$95=Assumptions!$G$10)*Assumptions!$G$89)*(1+Assumptions!$G$189)^(L$95-2026)</f>
        <v/>
      </c>
      <c r="M120" s="21">
        <f>'Sources &amp; Uses'!$F$45*((M$95=Assumptions!$G$10-2)*Assumptions!$G$87+(M$95=Assumptions!$G$10-1)*Assumptions!$G$88+(M$95=Assumptions!$G$10)*Assumptions!$G$89)*(1+Assumptions!$G$189)^(M$95-2026)</f>
        <v/>
      </c>
      <c r="N120" s="47">
        <f>SUM(D120:M120)</f>
        <v/>
      </c>
      <c r="O120" s="47">
        <f>'Sources &amp; Uses'!$F$45</f>
        <v/>
      </c>
      <c r="P120" s="47">
        <f>N120-O120</f>
        <v/>
      </c>
    </row>
    <row r="121">
      <c r="A121" s="9" t="inlineStr">
        <is>
          <t>FF&amp;E, Phase 2 share</t>
        </is>
      </c>
      <c r="B121" s="24" t="inlineStr">
        <is>
          <t>Phase 2</t>
        </is>
      </c>
      <c r="C121" s="24" t="inlineStr">
        <is>
          <t>Opening year</t>
        </is>
      </c>
      <c r="D121" s="21">
        <f>'Sources &amp; Uses'!$F$46*(D$95=Assumptions!$G$10)*(1+Assumptions!$G$189)^(D$95-2026)</f>
        <v/>
      </c>
      <c r="E121" s="21">
        <f>'Sources &amp; Uses'!$F$46*(E$95=Assumptions!$G$10)*(1+Assumptions!$G$189)^(E$95-2026)</f>
        <v/>
      </c>
      <c r="F121" s="21">
        <f>'Sources &amp; Uses'!$F$46*(F$95=Assumptions!$G$10)*(1+Assumptions!$G$189)^(F$95-2026)</f>
        <v/>
      </c>
      <c r="G121" s="21">
        <f>'Sources &amp; Uses'!$F$46*(G$95=Assumptions!$G$10)*(1+Assumptions!$G$189)^(G$95-2026)</f>
        <v/>
      </c>
      <c r="H121" s="21">
        <f>'Sources &amp; Uses'!$F$46*(H$95=Assumptions!$G$10)*(1+Assumptions!$G$189)^(H$95-2026)</f>
        <v/>
      </c>
      <c r="I121" s="21">
        <f>'Sources &amp; Uses'!$F$46*(I$95=Assumptions!$G$10)*(1+Assumptions!$G$189)^(I$95-2026)</f>
        <v/>
      </c>
      <c r="J121" s="21">
        <f>'Sources &amp; Uses'!$F$46*(J$95=Assumptions!$G$10)*(1+Assumptions!$G$189)^(J$95-2026)</f>
        <v/>
      </c>
      <c r="K121" s="21">
        <f>'Sources &amp; Uses'!$F$46*(K$95=Assumptions!$G$10)*(1+Assumptions!$G$189)^(K$95-2026)</f>
        <v/>
      </c>
      <c r="L121" s="21">
        <f>'Sources &amp; Uses'!$F$46*(L$95=Assumptions!$G$10)*(1+Assumptions!$G$189)^(L$95-2026)</f>
        <v/>
      </c>
      <c r="M121" s="21">
        <f>'Sources &amp; Uses'!$F$46*(M$95=Assumptions!$G$10)*(1+Assumptions!$G$189)^(M$95-2026)</f>
        <v/>
      </c>
      <c r="N121" s="47">
        <f>SUM(D121:M121)</f>
        <v/>
      </c>
      <c r="O121" s="47">
        <f>'Sources &amp; Uses'!$F$46</f>
        <v/>
      </c>
      <c r="P121" s="47">
        <f>N121-O121</f>
        <v/>
      </c>
    </row>
    <row r="122">
      <c r="A122" s="9" t="inlineStr">
        <is>
          <t>Soft costs, Phase 2</t>
        </is>
      </c>
      <c r="B122" s="24" t="inlineStr">
        <is>
          <t>Phase 2</t>
        </is>
      </c>
      <c r="C122" s="24" t="inlineStr">
        <is>
          <t>Opening -3 to 0</t>
        </is>
      </c>
      <c r="D122" s="21">
        <f>'Sources &amp; Uses'!$F$47*((D$95=Assumptions!$G$10-4)*Assumptions!$G$79+(D$95=Assumptions!$G$10-3)*Assumptions!$G$80+(D$95=Assumptions!$G$10-2)*Assumptions!$G$81+(D$95=Assumptions!$G$10-1)*Assumptions!$G$82+(D$95=Assumptions!$G$10)*Assumptions!$G$83)*(1+Assumptions!$G$189)^(D$95-2026)</f>
        <v/>
      </c>
      <c r="E122" s="21">
        <f>'Sources &amp; Uses'!$F$47*((E$95=Assumptions!$G$10-4)*Assumptions!$G$79+(E$95=Assumptions!$G$10-3)*Assumptions!$G$80+(E$95=Assumptions!$G$10-2)*Assumptions!$G$81+(E$95=Assumptions!$G$10-1)*Assumptions!$G$82+(E$95=Assumptions!$G$10)*Assumptions!$G$83)*(1+Assumptions!$G$189)^(E$95-2026)</f>
        <v/>
      </c>
      <c r="F122" s="21">
        <f>'Sources &amp; Uses'!$F$47*((F$95=Assumptions!$G$10-4)*Assumptions!$G$79+(F$95=Assumptions!$G$10-3)*Assumptions!$G$80+(F$95=Assumptions!$G$10-2)*Assumptions!$G$81+(F$95=Assumptions!$G$10-1)*Assumptions!$G$82+(F$95=Assumptions!$G$10)*Assumptions!$G$83)*(1+Assumptions!$G$189)^(F$95-2026)</f>
        <v/>
      </c>
      <c r="G122" s="21">
        <f>'Sources &amp; Uses'!$F$47*((G$95=Assumptions!$G$10-4)*Assumptions!$G$79+(G$95=Assumptions!$G$10-3)*Assumptions!$G$80+(G$95=Assumptions!$G$10-2)*Assumptions!$G$81+(G$95=Assumptions!$G$10-1)*Assumptions!$G$82+(G$95=Assumptions!$G$10)*Assumptions!$G$83)*(1+Assumptions!$G$189)^(G$95-2026)</f>
        <v/>
      </c>
      <c r="H122" s="21">
        <f>'Sources &amp; Uses'!$F$47*((H$95=Assumptions!$G$10-4)*Assumptions!$G$79+(H$95=Assumptions!$G$10-3)*Assumptions!$G$80+(H$95=Assumptions!$G$10-2)*Assumptions!$G$81+(H$95=Assumptions!$G$10-1)*Assumptions!$G$82+(H$95=Assumptions!$G$10)*Assumptions!$G$83)*(1+Assumptions!$G$189)^(H$95-2026)</f>
        <v/>
      </c>
      <c r="I122" s="21">
        <f>'Sources &amp; Uses'!$F$47*((I$95=Assumptions!$G$10-4)*Assumptions!$G$79+(I$95=Assumptions!$G$10-3)*Assumptions!$G$80+(I$95=Assumptions!$G$10-2)*Assumptions!$G$81+(I$95=Assumptions!$G$10-1)*Assumptions!$G$82+(I$95=Assumptions!$G$10)*Assumptions!$G$83)*(1+Assumptions!$G$189)^(I$95-2026)</f>
        <v/>
      </c>
      <c r="J122" s="21">
        <f>'Sources &amp; Uses'!$F$47*((J$95=Assumptions!$G$10-4)*Assumptions!$G$79+(J$95=Assumptions!$G$10-3)*Assumptions!$G$80+(J$95=Assumptions!$G$10-2)*Assumptions!$G$81+(J$95=Assumptions!$G$10-1)*Assumptions!$G$82+(J$95=Assumptions!$G$10)*Assumptions!$G$83)*(1+Assumptions!$G$189)^(J$95-2026)</f>
        <v/>
      </c>
      <c r="K122" s="21">
        <f>'Sources &amp; Uses'!$F$47*((K$95=Assumptions!$G$10-4)*Assumptions!$G$79+(K$95=Assumptions!$G$10-3)*Assumptions!$G$80+(K$95=Assumptions!$G$10-2)*Assumptions!$G$81+(K$95=Assumptions!$G$10-1)*Assumptions!$G$82+(K$95=Assumptions!$G$10)*Assumptions!$G$83)*(1+Assumptions!$G$189)^(K$95-2026)</f>
        <v/>
      </c>
      <c r="L122" s="21">
        <f>'Sources &amp; Uses'!$F$47*((L$95=Assumptions!$G$10-4)*Assumptions!$G$79+(L$95=Assumptions!$G$10-3)*Assumptions!$G$80+(L$95=Assumptions!$G$10-2)*Assumptions!$G$81+(L$95=Assumptions!$G$10-1)*Assumptions!$G$82+(L$95=Assumptions!$G$10)*Assumptions!$G$83)*(1+Assumptions!$G$189)^(L$95-2026)</f>
        <v/>
      </c>
      <c r="M122" s="21">
        <f>'Sources &amp; Uses'!$F$47*((M$95=Assumptions!$G$10-4)*Assumptions!$G$79+(M$95=Assumptions!$G$10-3)*Assumptions!$G$80+(M$95=Assumptions!$G$10-2)*Assumptions!$G$81+(M$95=Assumptions!$G$10-1)*Assumptions!$G$82+(M$95=Assumptions!$G$10)*Assumptions!$G$83)*(1+Assumptions!$G$189)^(M$95-2026)</f>
        <v/>
      </c>
      <c r="N122" s="47">
        <f>SUM(D122:M122)</f>
        <v/>
      </c>
      <c r="O122" s="47">
        <f>'Sources &amp; Uses'!$F$47</f>
        <v/>
      </c>
      <c r="P122" s="47">
        <f>N122-O122</f>
        <v/>
      </c>
    </row>
    <row r="123">
      <c r="A123" s="9" t="inlineStr">
        <is>
          <t>Contingency, Phase 2</t>
        </is>
      </c>
      <c r="B123" s="24" t="inlineStr">
        <is>
          <t>Phase 2</t>
        </is>
      </c>
      <c r="C123" s="24" t="inlineStr">
        <is>
          <t>Opening -1, 0</t>
        </is>
      </c>
      <c r="D123" s="21">
        <f>'Sources &amp; Uses'!$F$48*((D$95=Assumptions!$G$10-2)*Assumptions!$G$87+(D$95=Assumptions!$G$10-1)*Assumptions!$G$88+(D$95=Assumptions!$G$10)*Assumptions!$G$89)*(1+Assumptions!$G$189)^(D$95-2026)</f>
        <v/>
      </c>
      <c r="E123" s="21">
        <f>'Sources &amp; Uses'!$F$48*((E$95=Assumptions!$G$10-2)*Assumptions!$G$87+(E$95=Assumptions!$G$10-1)*Assumptions!$G$88+(E$95=Assumptions!$G$10)*Assumptions!$G$89)*(1+Assumptions!$G$189)^(E$95-2026)</f>
        <v/>
      </c>
      <c r="F123" s="21">
        <f>'Sources &amp; Uses'!$F$48*((F$95=Assumptions!$G$10-2)*Assumptions!$G$87+(F$95=Assumptions!$G$10-1)*Assumptions!$G$88+(F$95=Assumptions!$G$10)*Assumptions!$G$89)*(1+Assumptions!$G$189)^(F$95-2026)</f>
        <v/>
      </c>
      <c r="G123" s="21">
        <f>'Sources &amp; Uses'!$F$48*((G$95=Assumptions!$G$10-2)*Assumptions!$G$87+(G$95=Assumptions!$G$10-1)*Assumptions!$G$88+(G$95=Assumptions!$G$10)*Assumptions!$G$89)*(1+Assumptions!$G$189)^(G$95-2026)</f>
        <v/>
      </c>
      <c r="H123" s="21">
        <f>'Sources &amp; Uses'!$F$48*((H$95=Assumptions!$G$10-2)*Assumptions!$G$87+(H$95=Assumptions!$G$10-1)*Assumptions!$G$88+(H$95=Assumptions!$G$10)*Assumptions!$G$89)*(1+Assumptions!$G$189)^(H$95-2026)</f>
        <v/>
      </c>
      <c r="I123" s="21">
        <f>'Sources &amp; Uses'!$F$48*((I$95=Assumptions!$G$10-2)*Assumptions!$G$87+(I$95=Assumptions!$G$10-1)*Assumptions!$G$88+(I$95=Assumptions!$G$10)*Assumptions!$G$89)*(1+Assumptions!$G$189)^(I$95-2026)</f>
        <v/>
      </c>
      <c r="J123" s="21">
        <f>'Sources &amp; Uses'!$F$48*((J$95=Assumptions!$G$10-2)*Assumptions!$G$87+(J$95=Assumptions!$G$10-1)*Assumptions!$G$88+(J$95=Assumptions!$G$10)*Assumptions!$G$89)*(1+Assumptions!$G$189)^(J$95-2026)</f>
        <v/>
      </c>
      <c r="K123" s="21">
        <f>'Sources &amp; Uses'!$F$48*((K$95=Assumptions!$G$10-2)*Assumptions!$G$87+(K$95=Assumptions!$G$10-1)*Assumptions!$G$88+(K$95=Assumptions!$G$10)*Assumptions!$G$89)*(1+Assumptions!$G$189)^(K$95-2026)</f>
        <v/>
      </c>
      <c r="L123" s="21">
        <f>'Sources &amp; Uses'!$F$48*((L$95=Assumptions!$G$10-2)*Assumptions!$G$87+(L$95=Assumptions!$G$10-1)*Assumptions!$G$88+(L$95=Assumptions!$G$10)*Assumptions!$G$89)*(1+Assumptions!$G$189)^(L$95-2026)</f>
        <v/>
      </c>
      <c r="M123" s="21">
        <f>'Sources &amp; Uses'!$F$48*((M$95=Assumptions!$G$10-2)*Assumptions!$G$87+(M$95=Assumptions!$G$10-1)*Assumptions!$G$88+(M$95=Assumptions!$G$10)*Assumptions!$G$89)*(1+Assumptions!$G$189)^(M$95-2026)</f>
        <v/>
      </c>
      <c r="N123" s="47">
        <f>SUM(D123:M123)</f>
        <v/>
      </c>
      <c r="O123" s="47">
        <f>'Sources &amp; Uses'!$F$48</f>
        <v/>
      </c>
      <c r="P123" s="47">
        <f>N123-O123</f>
        <v/>
      </c>
    </row>
    <row r="124">
      <c r="A124" s="9" t="inlineStr">
        <is>
          <t>Site infrastructure, Phase 3 share</t>
        </is>
      </c>
      <c r="B124" s="24" t="inlineStr">
        <is>
          <t>Phase 3</t>
        </is>
      </c>
      <c r="C124" s="24" t="inlineStr">
        <is>
          <t>Opening -2 to 0</t>
        </is>
      </c>
      <c r="D124" s="21">
        <f>'Sources &amp; Uses'!$F$51*((D$95=Assumptions!$G$11-2)*Assumptions!$G$90+(D$95=Assumptions!$G$11-1)*Assumptions!$G$91+(D$95=Assumptions!$G$11)*Assumptions!$G$92)*(1+Assumptions!$G$189)^(D$95-2026)</f>
        <v/>
      </c>
      <c r="E124" s="21">
        <f>'Sources &amp; Uses'!$F$51*((E$95=Assumptions!$G$11-2)*Assumptions!$G$90+(E$95=Assumptions!$G$11-1)*Assumptions!$G$91+(E$95=Assumptions!$G$11)*Assumptions!$G$92)*(1+Assumptions!$G$189)^(E$95-2026)</f>
        <v/>
      </c>
      <c r="F124" s="21">
        <f>'Sources &amp; Uses'!$F$51*((F$95=Assumptions!$G$11-2)*Assumptions!$G$90+(F$95=Assumptions!$G$11-1)*Assumptions!$G$91+(F$95=Assumptions!$G$11)*Assumptions!$G$92)*(1+Assumptions!$G$189)^(F$95-2026)</f>
        <v/>
      </c>
      <c r="G124" s="21">
        <f>'Sources &amp; Uses'!$F$51*((G$95=Assumptions!$G$11-2)*Assumptions!$G$90+(G$95=Assumptions!$G$11-1)*Assumptions!$G$91+(G$95=Assumptions!$G$11)*Assumptions!$G$92)*(1+Assumptions!$G$189)^(G$95-2026)</f>
        <v/>
      </c>
      <c r="H124" s="21">
        <f>'Sources &amp; Uses'!$F$51*((H$95=Assumptions!$G$11-2)*Assumptions!$G$90+(H$95=Assumptions!$G$11-1)*Assumptions!$G$91+(H$95=Assumptions!$G$11)*Assumptions!$G$92)*(1+Assumptions!$G$189)^(H$95-2026)</f>
        <v/>
      </c>
      <c r="I124" s="21">
        <f>'Sources &amp; Uses'!$F$51*((I$95=Assumptions!$G$11-2)*Assumptions!$G$90+(I$95=Assumptions!$G$11-1)*Assumptions!$G$91+(I$95=Assumptions!$G$11)*Assumptions!$G$92)*(1+Assumptions!$G$189)^(I$95-2026)</f>
        <v/>
      </c>
      <c r="J124" s="21">
        <f>'Sources &amp; Uses'!$F$51*((J$95=Assumptions!$G$11-2)*Assumptions!$G$90+(J$95=Assumptions!$G$11-1)*Assumptions!$G$91+(J$95=Assumptions!$G$11)*Assumptions!$G$92)*(1+Assumptions!$G$189)^(J$95-2026)</f>
        <v/>
      </c>
      <c r="K124" s="21">
        <f>'Sources &amp; Uses'!$F$51*((K$95=Assumptions!$G$11-2)*Assumptions!$G$90+(K$95=Assumptions!$G$11-1)*Assumptions!$G$91+(K$95=Assumptions!$G$11)*Assumptions!$G$92)*(1+Assumptions!$G$189)^(K$95-2026)</f>
        <v/>
      </c>
      <c r="L124" s="21">
        <f>'Sources &amp; Uses'!$F$51*((L$95=Assumptions!$G$11-2)*Assumptions!$G$90+(L$95=Assumptions!$G$11-1)*Assumptions!$G$91+(L$95=Assumptions!$G$11)*Assumptions!$G$92)*(1+Assumptions!$G$189)^(L$95-2026)</f>
        <v/>
      </c>
      <c r="M124" s="21">
        <f>'Sources &amp; Uses'!$F$51*((M$95=Assumptions!$G$11-2)*Assumptions!$G$90+(M$95=Assumptions!$G$11-1)*Assumptions!$G$91+(M$95=Assumptions!$G$11)*Assumptions!$G$92)*(1+Assumptions!$G$189)^(M$95-2026)</f>
        <v/>
      </c>
      <c r="N124" s="47">
        <f>SUM(D124:M124)</f>
        <v/>
      </c>
      <c r="O124" s="47">
        <f>'Sources &amp; Uses'!$F$51</f>
        <v/>
      </c>
      <c r="P124" s="47">
        <f>N124-O124</f>
        <v/>
      </c>
    </row>
    <row r="125">
      <c r="A125" s="9" t="inlineStr">
        <is>
          <t>Listening room and gallery barn, 3,000 sf</t>
        </is>
      </c>
      <c r="B125" s="24" t="inlineStr">
        <is>
          <t>Phase 3</t>
        </is>
      </c>
      <c r="C125" s="24" t="inlineStr">
        <is>
          <t>Opening -2 to 0</t>
        </is>
      </c>
      <c r="D125" s="21">
        <f>'Sources &amp; Uses'!$F$52*((D$95=Assumptions!$G$11-2)*Assumptions!$G$90+(D$95=Assumptions!$G$11-1)*Assumptions!$G$91+(D$95=Assumptions!$G$11)*Assumptions!$G$92)*(1+Assumptions!$G$189)^(D$95-2026)</f>
        <v/>
      </c>
      <c r="E125" s="21">
        <f>'Sources &amp; Uses'!$F$52*((E$95=Assumptions!$G$11-2)*Assumptions!$G$90+(E$95=Assumptions!$G$11-1)*Assumptions!$G$91+(E$95=Assumptions!$G$11)*Assumptions!$G$92)*(1+Assumptions!$G$189)^(E$95-2026)</f>
        <v/>
      </c>
      <c r="F125" s="21">
        <f>'Sources &amp; Uses'!$F$52*((F$95=Assumptions!$G$11-2)*Assumptions!$G$90+(F$95=Assumptions!$G$11-1)*Assumptions!$G$91+(F$95=Assumptions!$G$11)*Assumptions!$G$92)*(1+Assumptions!$G$189)^(F$95-2026)</f>
        <v/>
      </c>
      <c r="G125" s="21">
        <f>'Sources &amp; Uses'!$F$52*((G$95=Assumptions!$G$11-2)*Assumptions!$G$90+(G$95=Assumptions!$G$11-1)*Assumptions!$G$91+(G$95=Assumptions!$G$11)*Assumptions!$G$92)*(1+Assumptions!$G$189)^(G$95-2026)</f>
        <v/>
      </c>
      <c r="H125" s="21">
        <f>'Sources &amp; Uses'!$F$52*((H$95=Assumptions!$G$11-2)*Assumptions!$G$90+(H$95=Assumptions!$G$11-1)*Assumptions!$G$91+(H$95=Assumptions!$G$11)*Assumptions!$G$92)*(1+Assumptions!$G$189)^(H$95-2026)</f>
        <v/>
      </c>
      <c r="I125" s="21">
        <f>'Sources &amp; Uses'!$F$52*((I$95=Assumptions!$G$11-2)*Assumptions!$G$90+(I$95=Assumptions!$G$11-1)*Assumptions!$G$91+(I$95=Assumptions!$G$11)*Assumptions!$G$92)*(1+Assumptions!$G$189)^(I$95-2026)</f>
        <v/>
      </c>
      <c r="J125" s="21">
        <f>'Sources &amp; Uses'!$F$52*((J$95=Assumptions!$G$11-2)*Assumptions!$G$90+(J$95=Assumptions!$G$11-1)*Assumptions!$G$91+(J$95=Assumptions!$G$11)*Assumptions!$G$92)*(1+Assumptions!$G$189)^(J$95-2026)</f>
        <v/>
      </c>
      <c r="K125" s="21">
        <f>'Sources &amp; Uses'!$F$52*((K$95=Assumptions!$G$11-2)*Assumptions!$G$90+(K$95=Assumptions!$G$11-1)*Assumptions!$G$91+(K$95=Assumptions!$G$11)*Assumptions!$G$92)*(1+Assumptions!$G$189)^(K$95-2026)</f>
        <v/>
      </c>
      <c r="L125" s="21">
        <f>'Sources &amp; Uses'!$F$52*((L$95=Assumptions!$G$11-2)*Assumptions!$G$90+(L$95=Assumptions!$G$11-1)*Assumptions!$G$91+(L$95=Assumptions!$G$11)*Assumptions!$G$92)*(1+Assumptions!$G$189)^(L$95-2026)</f>
        <v/>
      </c>
      <c r="M125" s="21">
        <f>'Sources &amp; Uses'!$F$52*((M$95=Assumptions!$G$11-2)*Assumptions!$G$90+(M$95=Assumptions!$G$11-1)*Assumptions!$G$91+(M$95=Assumptions!$G$11)*Assumptions!$G$92)*(1+Assumptions!$G$189)^(M$95-2026)</f>
        <v/>
      </c>
      <c r="N125" s="47">
        <f>SUM(D125:M125)</f>
        <v/>
      </c>
      <c r="O125" s="47">
        <f>'Sources &amp; Uses'!$F$52</f>
        <v/>
      </c>
      <c r="P125" s="47">
        <f>N125-O125</f>
        <v/>
      </c>
    </row>
    <row r="126">
      <c r="A126" s="9" t="inlineStr">
        <is>
          <t>Commercial kitchen in the gallery barn</t>
        </is>
      </c>
      <c r="B126" s="24" t="inlineStr">
        <is>
          <t>Phase 3</t>
        </is>
      </c>
      <c r="C126" s="24" t="inlineStr">
        <is>
          <t>Opening -2 to 0</t>
        </is>
      </c>
      <c r="D126" s="21">
        <f>'Sources &amp; Uses'!$F$53*((D$95=Assumptions!$G$11-2)*Assumptions!$G$90+(D$95=Assumptions!$G$11-1)*Assumptions!$G$91+(D$95=Assumptions!$G$11)*Assumptions!$G$92)*(1+Assumptions!$G$189)^(D$95-2026)</f>
        <v/>
      </c>
      <c r="E126" s="21">
        <f>'Sources &amp; Uses'!$F$53*((E$95=Assumptions!$G$11-2)*Assumptions!$G$90+(E$95=Assumptions!$G$11-1)*Assumptions!$G$91+(E$95=Assumptions!$G$11)*Assumptions!$G$92)*(1+Assumptions!$G$189)^(E$95-2026)</f>
        <v/>
      </c>
      <c r="F126" s="21">
        <f>'Sources &amp; Uses'!$F$53*((F$95=Assumptions!$G$11-2)*Assumptions!$G$90+(F$95=Assumptions!$G$11-1)*Assumptions!$G$91+(F$95=Assumptions!$G$11)*Assumptions!$G$92)*(1+Assumptions!$G$189)^(F$95-2026)</f>
        <v/>
      </c>
      <c r="G126" s="21">
        <f>'Sources &amp; Uses'!$F$53*((G$95=Assumptions!$G$11-2)*Assumptions!$G$90+(G$95=Assumptions!$G$11-1)*Assumptions!$G$91+(G$95=Assumptions!$G$11)*Assumptions!$G$92)*(1+Assumptions!$G$189)^(G$95-2026)</f>
        <v/>
      </c>
      <c r="H126" s="21">
        <f>'Sources &amp; Uses'!$F$53*((H$95=Assumptions!$G$11-2)*Assumptions!$G$90+(H$95=Assumptions!$G$11-1)*Assumptions!$G$91+(H$95=Assumptions!$G$11)*Assumptions!$G$92)*(1+Assumptions!$G$189)^(H$95-2026)</f>
        <v/>
      </c>
      <c r="I126" s="21">
        <f>'Sources &amp; Uses'!$F$53*((I$95=Assumptions!$G$11-2)*Assumptions!$G$90+(I$95=Assumptions!$G$11-1)*Assumptions!$G$91+(I$95=Assumptions!$G$11)*Assumptions!$G$92)*(1+Assumptions!$G$189)^(I$95-2026)</f>
        <v/>
      </c>
      <c r="J126" s="21">
        <f>'Sources &amp; Uses'!$F$53*((J$95=Assumptions!$G$11-2)*Assumptions!$G$90+(J$95=Assumptions!$G$11-1)*Assumptions!$G$91+(J$95=Assumptions!$G$11)*Assumptions!$G$92)*(1+Assumptions!$G$189)^(J$95-2026)</f>
        <v/>
      </c>
      <c r="K126" s="21">
        <f>'Sources &amp; Uses'!$F$53*((K$95=Assumptions!$G$11-2)*Assumptions!$G$90+(K$95=Assumptions!$G$11-1)*Assumptions!$G$91+(K$95=Assumptions!$G$11)*Assumptions!$G$92)*(1+Assumptions!$G$189)^(K$95-2026)</f>
        <v/>
      </c>
      <c r="L126" s="21">
        <f>'Sources &amp; Uses'!$F$53*((L$95=Assumptions!$G$11-2)*Assumptions!$G$90+(L$95=Assumptions!$G$11-1)*Assumptions!$G$91+(L$95=Assumptions!$G$11)*Assumptions!$G$92)*(1+Assumptions!$G$189)^(L$95-2026)</f>
        <v/>
      </c>
      <c r="M126" s="21">
        <f>'Sources &amp; Uses'!$F$53*((M$95=Assumptions!$G$11-2)*Assumptions!$G$90+(M$95=Assumptions!$G$11-1)*Assumptions!$G$91+(M$95=Assumptions!$G$11)*Assumptions!$G$92)*(1+Assumptions!$G$189)^(M$95-2026)</f>
        <v/>
      </c>
      <c r="N126" s="47">
        <f>SUM(D126:M126)</f>
        <v/>
      </c>
      <c r="O126" s="47">
        <f>'Sources &amp; Uses'!$F$53</f>
        <v/>
      </c>
      <c r="P126" s="47">
        <f>N126-O126</f>
        <v/>
      </c>
    </row>
    <row r="127">
      <c r="A127" s="9" t="inlineStr">
        <is>
          <t>Gallery contents (none budgeted)</t>
        </is>
      </c>
      <c r="B127" s="24" t="inlineStr">
        <is>
          <t>Phase 3</t>
        </is>
      </c>
      <c r="C127" s="24" t="inlineStr">
        <is>
          <t>Opening -1, 0</t>
        </is>
      </c>
      <c r="D127" s="21">
        <f>'Sources &amp; Uses'!$F$54*((D$95=Assumptions!$G$11-1)*Assumptions!$G$95+(D$95=Assumptions!$G$11)*Assumptions!$G$96)*(1+Assumptions!$G$189)^(D$95-2026)</f>
        <v/>
      </c>
      <c r="E127" s="21">
        <f>'Sources &amp; Uses'!$F$54*((E$95=Assumptions!$G$11-1)*Assumptions!$G$95+(E$95=Assumptions!$G$11)*Assumptions!$G$96)*(1+Assumptions!$G$189)^(E$95-2026)</f>
        <v/>
      </c>
      <c r="F127" s="21">
        <f>'Sources &amp; Uses'!$F$54*((F$95=Assumptions!$G$11-1)*Assumptions!$G$95+(F$95=Assumptions!$G$11)*Assumptions!$G$96)*(1+Assumptions!$G$189)^(F$95-2026)</f>
        <v/>
      </c>
      <c r="G127" s="21">
        <f>'Sources &amp; Uses'!$F$54*((G$95=Assumptions!$G$11-1)*Assumptions!$G$95+(G$95=Assumptions!$G$11)*Assumptions!$G$96)*(1+Assumptions!$G$189)^(G$95-2026)</f>
        <v/>
      </c>
      <c r="H127" s="21">
        <f>'Sources &amp; Uses'!$F$54*((H$95=Assumptions!$G$11-1)*Assumptions!$G$95+(H$95=Assumptions!$G$11)*Assumptions!$G$96)*(1+Assumptions!$G$189)^(H$95-2026)</f>
        <v/>
      </c>
      <c r="I127" s="21">
        <f>'Sources &amp; Uses'!$F$54*((I$95=Assumptions!$G$11-1)*Assumptions!$G$95+(I$95=Assumptions!$G$11)*Assumptions!$G$96)*(1+Assumptions!$G$189)^(I$95-2026)</f>
        <v/>
      </c>
      <c r="J127" s="21">
        <f>'Sources &amp; Uses'!$F$54*((J$95=Assumptions!$G$11-1)*Assumptions!$G$95+(J$95=Assumptions!$G$11)*Assumptions!$G$96)*(1+Assumptions!$G$189)^(J$95-2026)</f>
        <v/>
      </c>
      <c r="K127" s="21">
        <f>'Sources &amp; Uses'!$F$54*((K$95=Assumptions!$G$11-1)*Assumptions!$G$95+(K$95=Assumptions!$G$11)*Assumptions!$G$96)*(1+Assumptions!$G$189)^(K$95-2026)</f>
        <v/>
      </c>
      <c r="L127" s="21">
        <f>'Sources &amp; Uses'!$F$54*((L$95=Assumptions!$G$11-1)*Assumptions!$G$95+(L$95=Assumptions!$G$11)*Assumptions!$G$96)*(1+Assumptions!$G$189)^(L$95-2026)</f>
        <v/>
      </c>
      <c r="M127" s="21">
        <f>'Sources &amp; Uses'!$F$54*((M$95=Assumptions!$G$11-1)*Assumptions!$G$95+(M$95=Assumptions!$G$11)*Assumptions!$G$96)*(1+Assumptions!$G$189)^(M$95-2026)</f>
        <v/>
      </c>
      <c r="N127" s="47">
        <f>SUM(D127:M127)</f>
        <v/>
      </c>
      <c r="O127" s="47">
        <f>'Sources &amp; Uses'!$F$54</f>
        <v/>
      </c>
      <c r="P127" s="47">
        <f>N127-O127</f>
        <v/>
      </c>
    </row>
    <row r="128">
      <c r="A128" s="9" t="inlineStr">
        <is>
          <t>Landscaping and artwork, the rest (incl. the commissioned works)</t>
        </is>
      </c>
      <c r="B128" s="24" t="inlineStr">
        <is>
          <t>Phase 3</t>
        </is>
      </c>
      <c r="C128" s="24" t="inlineStr">
        <is>
          <t>Opening -2 to 0</t>
        </is>
      </c>
      <c r="D128" s="21">
        <f>'Sources &amp; Uses'!$F$55*((D$95=Assumptions!$G$11-2)*Assumptions!$G$90+(D$95=Assumptions!$G$11-1)*Assumptions!$G$91+(D$95=Assumptions!$G$11)*Assumptions!$G$92)*(1+Assumptions!$G$189)^(D$95-2026)</f>
        <v/>
      </c>
      <c r="E128" s="21">
        <f>'Sources &amp; Uses'!$F$55*((E$95=Assumptions!$G$11-2)*Assumptions!$G$90+(E$95=Assumptions!$G$11-1)*Assumptions!$G$91+(E$95=Assumptions!$G$11)*Assumptions!$G$92)*(1+Assumptions!$G$189)^(E$95-2026)</f>
        <v/>
      </c>
      <c r="F128" s="21">
        <f>'Sources &amp; Uses'!$F$55*((F$95=Assumptions!$G$11-2)*Assumptions!$G$90+(F$95=Assumptions!$G$11-1)*Assumptions!$G$91+(F$95=Assumptions!$G$11)*Assumptions!$G$92)*(1+Assumptions!$G$189)^(F$95-2026)</f>
        <v/>
      </c>
      <c r="G128" s="21">
        <f>'Sources &amp; Uses'!$F$55*((G$95=Assumptions!$G$11-2)*Assumptions!$G$90+(G$95=Assumptions!$G$11-1)*Assumptions!$G$91+(G$95=Assumptions!$G$11)*Assumptions!$G$92)*(1+Assumptions!$G$189)^(G$95-2026)</f>
        <v/>
      </c>
      <c r="H128" s="21">
        <f>'Sources &amp; Uses'!$F$55*((H$95=Assumptions!$G$11-2)*Assumptions!$G$90+(H$95=Assumptions!$G$11-1)*Assumptions!$G$91+(H$95=Assumptions!$G$11)*Assumptions!$G$92)*(1+Assumptions!$G$189)^(H$95-2026)</f>
        <v/>
      </c>
      <c r="I128" s="21">
        <f>'Sources &amp; Uses'!$F$55*((I$95=Assumptions!$G$11-2)*Assumptions!$G$90+(I$95=Assumptions!$G$11-1)*Assumptions!$G$91+(I$95=Assumptions!$G$11)*Assumptions!$G$92)*(1+Assumptions!$G$189)^(I$95-2026)</f>
        <v/>
      </c>
      <c r="J128" s="21">
        <f>'Sources &amp; Uses'!$F$55*((J$95=Assumptions!$G$11-2)*Assumptions!$G$90+(J$95=Assumptions!$G$11-1)*Assumptions!$G$91+(J$95=Assumptions!$G$11)*Assumptions!$G$92)*(1+Assumptions!$G$189)^(J$95-2026)</f>
        <v/>
      </c>
      <c r="K128" s="21">
        <f>'Sources &amp; Uses'!$F$55*((K$95=Assumptions!$G$11-2)*Assumptions!$G$90+(K$95=Assumptions!$G$11-1)*Assumptions!$G$91+(K$95=Assumptions!$G$11)*Assumptions!$G$92)*(1+Assumptions!$G$189)^(K$95-2026)</f>
        <v/>
      </c>
      <c r="L128" s="21">
        <f>'Sources &amp; Uses'!$F$55*((L$95=Assumptions!$G$11-2)*Assumptions!$G$90+(L$95=Assumptions!$G$11-1)*Assumptions!$G$91+(L$95=Assumptions!$G$11)*Assumptions!$G$92)*(1+Assumptions!$G$189)^(L$95-2026)</f>
        <v/>
      </c>
      <c r="M128" s="21">
        <f>'Sources &amp; Uses'!$F$55*((M$95=Assumptions!$G$11-2)*Assumptions!$G$90+(M$95=Assumptions!$G$11-1)*Assumptions!$G$91+(M$95=Assumptions!$G$11)*Assumptions!$G$92)*(1+Assumptions!$G$189)^(M$95-2026)</f>
        <v/>
      </c>
      <c r="N128" s="47">
        <f>SUM(D128:M128)</f>
        <v/>
      </c>
      <c r="O128" s="47">
        <f>'Sources &amp; Uses'!$F$55</f>
        <v/>
      </c>
      <c r="P128" s="47">
        <f>N128-O128</f>
        <v/>
      </c>
    </row>
    <row r="129">
      <c r="A129" s="9" t="inlineStr">
        <is>
          <t>FF&amp;E, Phase 3 share</t>
        </is>
      </c>
      <c r="B129" s="24" t="inlineStr">
        <is>
          <t>Phase 3</t>
        </is>
      </c>
      <c r="C129" s="24" t="inlineStr">
        <is>
          <t>Opening year</t>
        </is>
      </c>
      <c r="D129" s="21">
        <f>'Sources &amp; Uses'!$F$56*(D$95=Assumptions!$G$11)*(1+Assumptions!$G$189)^(D$95-2026)</f>
        <v/>
      </c>
      <c r="E129" s="21">
        <f>'Sources &amp; Uses'!$F$56*(E$95=Assumptions!$G$11)*(1+Assumptions!$G$189)^(E$95-2026)</f>
        <v/>
      </c>
      <c r="F129" s="21">
        <f>'Sources &amp; Uses'!$F$56*(F$95=Assumptions!$G$11)*(1+Assumptions!$G$189)^(F$95-2026)</f>
        <v/>
      </c>
      <c r="G129" s="21">
        <f>'Sources &amp; Uses'!$F$56*(G$95=Assumptions!$G$11)*(1+Assumptions!$G$189)^(G$95-2026)</f>
        <v/>
      </c>
      <c r="H129" s="21">
        <f>'Sources &amp; Uses'!$F$56*(H$95=Assumptions!$G$11)*(1+Assumptions!$G$189)^(H$95-2026)</f>
        <v/>
      </c>
      <c r="I129" s="21">
        <f>'Sources &amp; Uses'!$F$56*(I$95=Assumptions!$G$11)*(1+Assumptions!$G$189)^(I$95-2026)</f>
        <v/>
      </c>
      <c r="J129" s="21">
        <f>'Sources &amp; Uses'!$F$56*(J$95=Assumptions!$G$11)*(1+Assumptions!$G$189)^(J$95-2026)</f>
        <v/>
      </c>
      <c r="K129" s="21">
        <f>'Sources &amp; Uses'!$F$56*(K$95=Assumptions!$G$11)*(1+Assumptions!$G$189)^(K$95-2026)</f>
        <v/>
      </c>
      <c r="L129" s="21">
        <f>'Sources &amp; Uses'!$F$56*(L$95=Assumptions!$G$11)*(1+Assumptions!$G$189)^(L$95-2026)</f>
        <v/>
      </c>
      <c r="M129" s="21">
        <f>'Sources &amp; Uses'!$F$56*(M$95=Assumptions!$G$11)*(1+Assumptions!$G$189)^(M$95-2026)</f>
        <v/>
      </c>
      <c r="N129" s="47">
        <f>SUM(D129:M129)</f>
        <v/>
      </c>
      <c r="O129" s="47">
        <f>'Sources &amp; Uses'!$F$56</f>
        <v/>
      </c>
      <c r="P129" s="47">
        <f>N129-O129</f>
        <v/>
      </c>
    </row>
    <row r="130">
      <c r="A130" s="9" t="inlineStr">
        <is>
          <t>Soft costs, Phase 3</t>
        </is>
      </c>
      <c r="B130" s="24" t="inlineStr">
        <is>
          <t>Phase 3</t>
        </is>
      </c>
      <c r="C130" s="24" t="inlineStr">
        <is>
          <t>Opening -2 to 0</t>
        </is>
      </c>
      <c r="D130" s="21">
        <f>'Sources &amp; Uses'!$F$57*((D$95=Assumptions!$G$11-2)*Assumptions!$G$84+(D$95=Assumptions!$G$11-1)*Assumptions!$G$85+(D$95=Assumptions!$G$11)*Assumptions!$G$86)*(1+Assumptions!$G$189)^(D$95-2026)</f>
        <v/>
      </c>
      <c r="E130" s="21">
        <f>'Sources &amp; Uses'!$F$57*((E$95=Assumptions!$G$11-2)*Assumptions!$G$84+(E$95=Assumptions!$G$11-1)*Assumptions!$G$85+(E$95=Assumptions!$G$11)*Assumptions!$G$86)*(1+Assumptions!$G$189)^(E$95-2026)</f>
        <v/>
      </c>
      <c r="F130" s="21">
        <f>'Sources &amp; Uses'!$F$57*((F$95=Assumptions!$G$11-2)*Assumptions!$G$84+(F$95=Assumptions!$G$11-1)*Assumptions!$G$85+(F$95=Assumptions!$G$11)*Assumptions!$G$86)*(1+Assumptions!$G$189)^(F$95-2026)</f>
        <v/>
      </c>
      <c r="G130" s="21">
        <f>'Sources &amp; Uses'!$F$57*((G$95=Assumptions!$G$11-2)*Assumptions!$G$84+(G$95=Assumptions!$G$11-1)*Assumptions!$G$85+(G$95=Assumptions!$G$11)*Assumptions!$G$86)*(1+Assumptions!$G$189)^(G$95-2026)</f>
        <v/>
      </c>
      <c r="H130" s="21">
        <f>'Sources &amp; Uses'!$F$57*((H$95=Assumptions!$G$11-2)*Assumptions!$G$84+(H$95=Assumptions!$G$11-1)*Assumptions!$G$85+(H$95=Assumptions!$G$11)*Assumptions!$G$86)*(1+Assumptions!$G$189)^(H$95-2026)</f>
        <v/>
      </c>
      <c r="I130" s="21">
        <f>'Sources &amp; Uses'!$F$57*((I$95=Assumptions!$G$11-2)*Assumptions!$G$84+(I$95=Assumptions!$G$11-1)*Assumptions!$G$85+(I$95=Assumptions!$G$11)*Assumptions!$G$86)*(1+Assumptions!$G$189)^(I$95-2026)</f>
        <v/>
      </c>
      <c r="J130" s="21">
        <f>'Sources &amp; Uses'!$F$57*((J$95=Assumptions!$G$11-2)*Assumptions!$G$84+(J$95=Assumptions!$G$11-1)*Assumptions!$G$85+(J$95=Assumptions!$G$11)*Assumptions!$G$86)*(1+Assumptions!$G$189)^(J$95-2026)</f>
        <v/>
      </c>
      <c r="K130" s="21">
        <f>'Sources &amp; Uses'!$F$57*((K$95=Assumptions!$G$11-2)*Assumptions!$G$84+(K$95=Assumptions!$G$11-1)*Assumptions!$G$85+(K$95=Assumptions!$G$11)*Assumptions!$G$86)*(1+Assumptions!$G$189)^(K$95-2026)</f>
        <v/>
      </c>
      <c r="L130" s="21">
        <f>'Sources &amp; Uses'!$F$57*((L$95=Assumptions!$G$11-2)*Assumptions!$G$84+(L$95=Assumptions!$G$11-1)*Assumptions!$G$85+(L$95=Assumptions!$G$11)*Assumptions!$G$86)*(1+Assumptions!$G$189)^(L$95-2026)</f>
        <v/>
      </c>
      <c r="M130" s="21">
        <f>'Sources &amp; Uses'!$F$57*((M$95=Assumptions!$G$11-2)*Assumptions!$G$84+(M$95=Assumptions!$G$11-1)*Assumptions!$G$85+(M$95=Assumptions!$G$11)*Assumptions!$G$86)*(1+Assumptions!$G$189)^(M$95-2026)</f>
        <v/>
      </c>
      <c r="N130" s="47">
        <f>SUM(D130:M130)</f>
        <v/>
      </c>
      <c r="O130" s="47">
        <f>'Sources &amp; Uses'!$F$57</f>
        <v/>
      </c>
      <c r="P130" s="47">
        <f>N130-O130</f>
        <v/>
      </c>
    </row>
    <row r="131">
      <c r="A131" s="9" t="inlineStr">
        <is>
          <t>Contingency, Phase 3</t>
        </is>
      </c>
      <c r="B131" s="24" t="inlineStr">
        <is>
          <t>Phase 3</t>
        </is>
      </c>
      <c r="C131" s="24" t="inlineStr">
        <is>
          <t>Opening -2 to 0</t>
        </is>
      </c>
      <c r="D131" s="21">
        <f>'Sources &amp; Uses'!$F$58*((D$95=Assumptions!$G$11-2)*Assumptions!$G$90+(D$95=Assumptions!$G$11-1)*Assumptions!$G$91+(D$95=Assumptions!$G$11)*Assumptions!$G$92)*(1+Assumptions!$G$189)^(D$95-2026)</f>
        <v/>
      </c>
      <c r="E131" s="21">
        <f>'Sources &amp; Uses'!$F$58*((E$95=Assumptions!$G$11-2)*Assumptions!$G$90+(E$95=Assumptions!$G$11-1)*Assumptions!$G$91+(E$95=Assumptions!$G$11)*Assumptions!$G$92)*(1+Assumptions!$G$189)^(E$95-2026)</f>
        <v/>
      </c>
      <c r="F131" s="21">
        <f>'Sources &amp; Uses'!$F$58*((F$95=Assumptions!$G$11-2)*Assumptions!$G$90+(F$95=Assumptions!$G$11-1)*Assumptions!$G$91+(F$95=Assumptions!$G$11)*Assumptions!$G$92)*(1+Assumptions!$G$189)^(F$95-2026)</f>
        <v/>
      </c>
      <c r="G131" s="21">
        <f>'Sources &amp; Uses'!$F$58*((G$95=Assumptions!$G$11-2)*Assumptions!$G$90+(G$95=Assumptions!$G$11-1)*Assumptions!$G$91+(G$95=Assumptions!$G$11)*Assumptions!$G$92)*(1+Assumptions!$G$189)^(G$95-2026)</f>
        <v/>
      </c>
      <c r="H131" s="21">
        <f>'Sources &amp; Uses'!$F$58*((H$95=Assumptions!$G$11-2)*Assumptions!$G$90+(H$95=Assumptions!$G$11-1)*Assumptions!$G$91+(H$95=Assumptions!$G$11)*Assumptions!$G$92)*(1+Assumptions!$G$189)^(H$95-2026)</f>
        <v/>
      </c>
      <c r="I131" s="21">
        <f>'Sources &amp; Uses'!$F$58*((I$95=Assumptions!$G$11-2)*Assumptions!$G$90+(I$95=Assumptions!$G$11-1)*Assumptions!$G$91+(I$95=Assumptions!$G$11)*Assumptions!$G$92)*(1+Assumptions!$G$189)^(I$95-2026)</f>
        <v/>
      </c>
      <c r="J131" s="21">
        <f>'Sources &amp; Uses'!$F$58*((J$95=Assumptions!$G$11-2)*Assumptions!$G$90+(J$95=Assumptions!$G$11-1)*Assumptions!$G$91+(J$95=Assumptions!$G$11)*Assumptions!$G$92)*(1+Assumptions!$G$189)^(J$95-2026)</f>
        <v/>
      </c>
      <c r="K131" s="21">
        <f>'Sources &amp; Uses'!$F$58*((K$95=Assumptions!$G$11-2)*Assumptions!$G$90+(K$95=Assumptions!$G$11-1)*Assumptions!$G$91+(K$95=Assumptions!$G$11)*Assumptions!$G$92)*(1+Assumptions!$G$189)^(K$95-2026)</f>
        <v/>
      </c>
      <c r="L131" s="21">
        <f>'Sources &amp; Uses'!$F$58*((L$95=Assumptions!$G$11-2)*Assumptions!$G$90+(L$95=Assumptions!$G$11-1)*Assumptions!$G$91+(L$95=Assumptions!$G$11)*Assumptions!$G$92)*(1+Assumptions!$G$189)^(L$95-2026)</f>
        <v/>
      </c>
      <c r="M131" s="21">
        <f>'Sources &amp; Uses'!$F$58*((M$95=Assumptions!$G$11-2)*Assumptions!$G$90+(M$95=Assumptions!$G$11-1)*Assumptions!$G$91+(M$95=Assumptions!$G$11)*Assumptions!$G$92)*(1+Assumptions!$G$189)^(M$95-2026)</f>
        <v/>
      </c>
      <c r="N131" s="47">
        <f>SUM(D131:M131)</f>
        <v/>
      </c>
      <c r="O131" s="47">
        <f>'Sources &amp; Uses'!$F$58</f>
        <v/>
      </c>
      <c r="P131" s="47">
        <f>N131-O131</f>
        <v/>
      </c>
    </row>
    <row r="132">
      <c r="A132" s="9" t="inlineStr">
        <is>
          <t>Development-period overhead until Phase 1 opens</t>
        </is>
      </c>
      <c r="B132" s="24" t="inlineStr">
        <is>
          <t>Pre-opening</t>
        </is>
      </c>
      <c r="C132" s="24" t="inlineStr">
        <is>
          <t>Each year before Phase 1</t>
        </is>
      </c>
      <c r="D132" s="21">
        <f>Assumptions!$G$72*(D$95&gt;=Assumptions!$G$8)*(D$95&lt;Assumptions!$G$9)*(1+Assumptions!$G$189)^(D$95-2026)</f>
        <v/>
      </c>
      <c r="E132" s="21">
        <f>Assumptions!$G$72*(E$95&gt;=Assumptions!$G$8)*(E$95&lt;Assumptions!$G$9)*(1+Assumptions!$G$189)^(E$95-2026)</f>
        <v/>
      </c>
      <c r="F132" s="21">
        <f>Assumptions!$G$72*(F$95&gt;=Assumptions!$G$8)*(F$95&lt;Assumptions!$G$9)*(1+Assumptions!$G$189)^(F$95-2026)</f>
        <v/>
      </c>
      <c r="G132" s="21">
        <f>Assumptions!$G$72*(G$95&gt;=Assumptions!$G$8)*(G$95&lt;Assumptions!$G$9)*(1+Assumptions!$G$189)^(G$95-2026)</f>
        <v/>
      </c>
      <c r="H132" s="21">
        <f>Assumptions!$G$72*(H$95&gt;=Assumptions!$G$8)*(H$95&lt;Assumptions!$G$9)*(1+Assumptions!$G$189)^(H$95-2026)</f>
        <v/>
      </c>
      <c r="I132" s="21">
        <f>Assumptions!$G$72*(I$95&gt;=Assumptions!$G$8)*(I$95&lt;Assumptions!$G$9)*(1+Assumptions!$G$189)^(I$95-2026)</f>
        <v/>
      </c>
      <c r="J132" s="21">
        <f>Assumptions!$G$72*(J$95&gt;=Assumptions!$G$8)*(J$95&lt;Assumptions!$G$9)*(1+Assumptions!$G$189)^(J$95-2026)</f>
        <v/>
      </c>
      <c r="K132" s="21">
        <f>Assumptions!$G$72*(K$95&gt;=Assumptions!$G$8)*(K$95&lt;Assumptions!$G$9)*(1+Assumptions!$G$189)^(K$95-2026)</f>
        <v/>
      </c>
      <c r="L132" s="21">
        <f>Assumptions!$G$72*(L$95&gt;=Assumptions!$G$8)*(L$95&lt;Assumptions!$G$9)*(1+Assumptions!$G$189)^(L$95-2026)</f>
        <v/>
      </c>
      <c r="M132" s="21">
        <f>Assumptions!$G$72*(M$95&gt;=Assumptions!$G$8)*(M$95&lt;Assumptions!$G$9)*(1+Assumptions!$G$189)^(M$95-2026)</f>
        <v/>
      </c>
      <c r="N132" s="47">
        <f>SUM(D132:M132)</f>
        <v/>
      </c>
      <c r="O132" s="47">
        <f>'Sources &amp; Uses'!$F$62</f>
        <v/>
      </c>
      <c r="P132" s="47">
        <f>N132-O132</f>
        <v/>
      </c>
    </row>
    <row r="133">
      <c r="A133" s="9" t="inlineStr">
        <is>
          <t>Pre-opening, Phase 1 (hiring, training, launch, supplies)</t>
        </is>
      </c>
      <c r="B133" s="24" t="inlineStr">
        <is>
          <t>Pre-opening</t>
        </is>
      </c>
      <c r="C133" s="24" t="inlineStr">
        <is>
          <t>Opening year</t>
        </is>
      </c>
      <c r="D133" s="21">
        <f>'Sources &amp; Uses'!$F$63*(D$95=Assumptions!$G$9)*(1+Assumptions!$G$189)^(D$95-2026)</f>
        <v/>
      </c>
      <c r="E133" s="21">
        <f>'Sources &amp; Uses'!$F$63*(E$95=Assumptions!$G$9)*(1+Assumptions!$G$189)^(E$95-2026)</f>
        <v/>
      </c>
      <c r="F133" s="21">
        <f>'Sources &amp; Uses'!$F$63*(F$95=Assumptions!$G$9)*(1+Assumptions!$G$189)^(F$95-2026)</f>
        <v/>
      </c>
      <c r="G133" s="21">
        <f>'Sources &amp; Uses'!$F$63*(G$95=Assumptions!$G$9)*(1+Assumptions!$G$189)^(G$95-2026)</f>
        <v/>
      </c>
      <c r="H133" s="21">
        <f>'Sources &amp; Uses'!$F$63*(H$95=Assumptions!$G$9)*(1+Assumptions!$G$189)^(H$95-2026)</f>
        <v/>
      </c>
      <c r="I133" s="21">
        <f>'Sources &amp; Uses'!$F$63*(I$95=Assumptions!$G$9)*(1+Assumptions!$G$189)^(I$95-2026)</f>
        <v/>
      </c>
      <c r="J133" s="21">
        <f>'Sources &amp; Uses'!$F$63*(J$95=Assumptions!$G$9)*(1+Assumptions!$G$189)^(J$95-2026)</f>
        <v/>
      </c>
      <c r="K133" s="21">
        <f>'Sources &amp; Uses'!$F$63*(K$95=Assumptions!$G$9)*(1+Assumptions!$G$189)^(K$95-2026)</f>
        <v/>
      </c>
      <c r="L133" s="21">
        <f>'Sources &amp; Uses'!$F$63*(L$95=Assumptions!$G$9)*(1+Assumptions!$G$189)^(L$95-2026)</f>
        <v/>
      </c>
      <c r="M133" s="21">
        <f>'Sources &amp; Uses'!$F$63*(M$95=Assumptions!$G$9)*(1+Assumptions!$G$189)^(M$95-2026)</f>
        <v/>
      </c>
      <c r="N133" s="47">
        <f>SUM(D133:M133)</f>
        <v/>
      </c>
      <c r="O133" s="47">
        <f>'Sources &amp; Uses'!$F$63</f>
        <v/>
      </c>
      <c r="P133" s="47">
        <f>N133-O133</f>
        <v/>
      </c>
    </row>
    <row r="134">
      <c r="A134" s="9" t="inlineStr">
        <is>
          <t>Pre-opening, Phase 2</t>
        </is>
      </c>
      <c r="B134" s="24" t="inlineStr">
        <is>
          <t>Pre-opening</t>
        </is>
      </c>
      <c r="C134" s="24" t="inlineStr">
        <is>
          <t>Opening year</t>
        </is>
      </c>
      <c r="D134" s="21">
        <f>'Sources &amp; Uses'!$F$64*(D$95=Assumptions!$G$10)*(1+Assumptions!$G$189)^(D$95-2026)</f>
        <v/>
      </c>
      <c r="E134" s="21">
        <f>'Sources &amp; Uses'!$F$64*(E$95=Assumptions!$G$10)*(1+Assumptions!$G$189)^(E$95-2026)</f>
        <v/>
      </c>
      <c r="F134" s="21">
        <f>'Sources &amp; Uses'!$F$64*(F$95=Assumptions!$G$10)*(1+Assumptions!$G$189)^(F$95-2026)</f>
        <v/>
      </c>
      <c r="G134" s="21">
        <f>'Sources &amp; Uses'!$F$64*(G$95=Assumptions!$G$10)*(1+Assumptions!$G$189)^(G$95-2026)</f>
        <v/>
      </c>
      <c r="H134" s="21">
        <f>'Sources &amp; Uses'!$F$64*(H$95=Assumptions!$G$10)*(1+Assumptions!$G$189)^(H$95-2026)</f>
        <v/>
      </c>
      <c r="I134" s="21">
        <f>'Sources &amp; Uses'!$F$64*(I$95=Assumptions!$G$10)*(1+Assumptions!$G$189)^(I$95-2026)</f>
        <v/>
      </c>
      <c r="J134" s="21">
        <f>'Sources &amp; Uses'!$F$64*(J$95=Assumptions!$G$10)*(1+Assumptions!$G$189)^(J$95-2026)</f>
        <v/>
      </c>
      <c r="K134" s="21">
        <f>'Sources &amp; Uses'!$F$64*(K$95=Assumptions!$G$10)*(1+Assumptions!$G$189)^(K$95-2026)</f>
        <v/>
      </c>
      <c r="L134" s="21">
        <f>'Sources &amp; Uses'!$F$64*(L$95=Assumptions!$G$10)*(1+Assumptions!$G$189)^(L$95-2026)</f>
        <v/>
      </c>
      <c r="M134" s="21">
        <f>'Sources &amp; Uses'!$F$64*(M$95=Assumptions!$G$10)*(1+Assumptions!$G$189)^(M$95-2026)</f>
        <v/>
      </c>
      <c r="N134" s="47">
        <f>SUM(D134:M134)</f>
        <v/>
      </c>
      <c r="O134" s="47">
        <f>'Sources &amp; Uses'!$F$64</f>
        <v/>
      </c>
      <c r="P134" s="47">
        <f>N134-O134</f>
        <v/>
      </c>
    </row>
    <row r="135">
      <c r="A135" s="9" t="inlineStr">
        <is>
          <t>Pre-opening, Phase 3</t>
        </is>
      </c>
      <c r="B135" s="24" t="inlineStr">
        <is>
          <t>Pre-opening</t>
        </is>
      </c>
      <c r="C135" s="24" t="inlineStr">
        <is>
          <t>Opening year</t>
        </is>
      </c>
      <c r="D135" s="21">
        <f>'Sources &amp; Uses'!$F$65*(D$95=Assumptions!$G$11)*(1+Assumptions!$G$189)^(D$95-2026)</f>
        <v/>
      </c>
      <c r="E135" s="21">
        <f>'Sources &amp; Uses'!$F$65*(E$95=Assumptions!$G$11)*(1+Assumptions!$G$189)^(E$95-2026)</f>
        <v/>
      </c>
      <c r="F135" s="21">
        <f>'Sources &amp; Uses'!$F$65*(F$95=Assumptions!$G$11)*(1+Assumptions!$G$189)^(F$95-2026)</f>
        <v/>
      </c>
      <c r="G135" s="21">
        <f>'Sources &amp; Uses'!$F$65*(G$95=Assumptions!$G$11)*(1+Assumptions!$G$189)^(G$95-2026)</f>
        <v/>
      </c>
      <c r="H135" s="21">
        <f>'Sources &amp; Uses'!$F$65*(H$95=Assumptions!$G$11)*(1+Assumptions!$G$189)^(H$95-2026)</f>
        <v/>
      </c>
      <c r="I135" s="21">
        <f>'Sources &amp; Uses'!$F$65*(I$95=Assumptions!$G$11)*(1+Assumptions!$G$189)^(I$95-2026)</f>
        <v/>
      </c>
      <c r="J135" s="21">
        <f>'Sources &amp; Uses'!$F$65*(J$95=Assumptions!$G$11)*(1+Assumptions!$G$189)^(J$95-2026)</f>
        <v/>
      </c>
      <c r="K135" s="21">
        <f>'Sources &amp; Uses'!$F$65*(K$95=Assumptions!$G$11)*(1+Assumptions!$G$189)^(K$95-2026)</f>
        <v/>
      </c>
      <c r="L135" s="21">
        <f>'Sources &amp; Uses'!$F$65*(L$95=Assumptions!$G$11)*(1+Assumptions!$G$189)^(L$95-2026)</f>
        <v/>
      </c>
      <c r="M135" s="21">
        <f>'Sources &amp; Uses'!$F$65*(M$95=Assumptions!$G$11)*(1+Assumptions!$G$189)^(M$95-2026)</f>
        <v/>
      </c>
      <c r="N135" s="47">
        <f>SUM(D135:M135)</f>
        <v/>
      </c>
      <c r="O135" s="47">
        <f>'Sources &amp; Uses'!$F$65</f>
        <v/>
      </c>
      <c r="P135" s="47">
        <f>N135-O135</f>
        <v/>
      </c>
    </row>
    <row r="136">
      <c r="A136" s="48" t="inlineStr">
        <is>
          <t>TOTAL CAPITAL AND PRE-OPENING USES</t>
        </is>
      </c>
      <c r="B136" s="49" t="n"/>
      <c r="C136" s="49" t="n"/>
      <c r="D136" s="50">
        <f>SUM(D96:D135)</f>
        <v/>
      </c>
      <c r="E136" s="50">
        <f>SUM(E96:E135)</f>
        <v/>
      </c>
      <c r="F136" s="50">
        <f>SUM(F96:F135)</f>
        <v/>
      </c>
      <c r="G136" s="50">
        <f>SUM(G96:G135)</f>
        <v/>
      </c>
      <c r="H136" s="50">
        <f>SUM(H96:H135)</f>
        <v/>
      </c>
      <c r="I136" s="50">
        <f>SUM(I96:I135)</f>
        <v/>
      </c>
      <c r="J136" s="50">
        <f>SUM(J96:J135)</f>
        <v/>
      </c>
      <c r="K136" s="50">
        <f>SUM(K96:K135)</f>
        <v/>
      </c>
      <c r="L136" s="50">
        <f>SUM(L96:L135)</f>
        <v/>
      </c>
      <c r="M136" s="50">
        <f>SUM(M96:M135)</f>
        <v/>
      </c>
      <c r="N136" s="50">
        <f>SUM(N96:N135)</f>
        <v/>
      </c>
      <c r="O136" s="50">
        <f>SUM(O96:O135)</f>
        <v/>
      </c>
      <c r="P136" s="50">
        <f>SUM(P96:P135)</f>
        <v/>
      </c>
    </row>
    <row r="139">
      <c r="A139" s="46" t="inlineStr">
        <is>
          <t>STRESS  -  Stress: base scope 15% over, a harder parcel, an EIR and an appeal, soft costs 25%, contingency 20%, weak demand, opening a year later</t>
        </is>
      </c>
    </row>
    <row r="140">
      <c r="A140" s="3" t="inlineStr">
        <is>
          <t>Item</t>
        </is>
      </c>
      <c r="B140" s="4" t="inlineStr">
        <is>
          <t>Phase</t>
        </is>
      </c>
      <c r="C140" s="4" t="inlineStr">
        <is>
          <t>Timing</t>
        </is>
      </c>
      <c r="D140" s="4" t="n">
        <v>2027</v>
      </c>
      <c r="E140" s="4" t="n">
        <v>2028</v>
      </c>
      <c r="F140" s="4" t="n">
        <v>2029</v>
      </c>
      <c r="G140" s="4" t="n">
        <v>2030</v>
      </c>
      <c r="H140" s="4" t="n">
        <v>2031</v>
      </c>
      <c r="I140" s="4" t="n">
        <v>2032</v>
      </c>
      <c r="J140" s="4" t="n">
        <v>2033</v>
      </c>
      <c r="K140" s="4" t="n">
        <v>2034</v>
      </c>
      <c r="L140" s="4" t="n">
        <v>2035</v>
      </c>
      <c r="M140" s="4" t="n">
        <v>2036</v>
      </c>
      <c r="N140" s="4" t="inlineStr">
        <is>
          <t>Total</t>
        </is>
      </c>
      <c r="O140" s="4" t="inlineStr">
        <is>
          <t>S&amp;U amount</t>
        </is>
      </c>
      <c r="P140" s="4" t="inlineStr">
        <is>
          <t>Check</t>
        </is>
      </c>
    </row>
    <row r="141">
      <c r="A141" s="9" t="inlineStr">
        <is>
          <t>Pre-construction approvals: due diligence, studies, camp CUP, CEQA, attorney</t>
        </is>
      </c>
      <c r="B141" s="24" t="inlineStr">
        <is>
          <t>Stage 0</t>
        </is>
      </c>
      <c r="C141" s="24" t="inlineStr">
        <is>
          <t>Land year to +1</t>
        </is>
      </c>
      <c r="D141" s="21">
        <f>'Sources &amp; Uses'!$G$17*((D$140=Assumptions!$H$8)*Assumptions!$H$75+(D$140=Assumptions!$H$8+1)*Assumptions!$H$76+(D$140=Assumptions!$H$8+2)*Assumptions!$H$77+(D$140=Assumptions!$H$8+3)*Assumptions!$H$78)*(1+Assumptions!$H$189)^(D$140-2026)</f>
        <v/>
      </c>
      <c r="E141" s="21">
        <f>'Sources &amp; Uses'!$G$17*((E$140=Assumptions!$H$8)*Assumptions!$H$75+(E$140=Assumptions!$H$8+1)*Assumptions!$H$76+(E$140=Assumptions!$H$8+2)*Assumptions!$H$77+(E$140=Assumptions!$H$8+3)*Assumptions!$H$78)*(1+Assumptions!$H$189)^(E$140-2026)</f>
        <v/>
      </c>
      <c r="F141" s="21">
        <f>'Sources &amp; Uses'!$G$17*((F$140=Assumptions!$H$8)*Assumptions!$H$75+(F$140=Assumptions!$H$8+1)*Assumptions!$H$76+(F$140=Assumptions!$H$8+2)*Assumptions!$H$77+(F$140=Assumptions!$H$8+3)*Assumptions!$H$78)*(1+Assumptions!$H$189)^(F$140-2026)</f>
        <v/>
      </c>
      <c r="G141" s="21">
        <f>'Sources &amp; Uses'!$G$17*((G$140=Assumptions!$H$8)*Assumptions!$H$75+(G$140=Assumptions!$H$8+1)*Assumptions!$H$76+(G$140=Assumptions!$H$8+2)*Assumptions!$H$77+(G$140=Assumptions!$H$8+3)*Assumptions!$H$78)*(1+Assumptions!$H$189)^(G$140-2026)</f>
        <v/>
      </c>
      <c r="H141" s="21">
        <f>'Sources &amp; Uses'!$G$17*((H$140=Assumptions!$H$8)*Assumptions!$H$75+(H$140=Assumptions!$H$8+1)*Assumptions!$H$76+(H$140=Assumptions!$H$8+2)*Assumptions!$H$77+(H$140=Assumptions!$H$8+3)*Assumptions!$H$78)*(1+Assumptions!$H$189)^(H$140-2026)</f>
        <v/>
      </c>
      <c r="I141" s="21">
        <f>'Sources &amp; Uses'!$G$17*((I$140=Assumptions!$H$8)*Assumptions!$H$75+(I$140=Assumptions!$H$8+1)*Assumptions!$H$76+(I$140=Assumptions!$H$8+2)*Assumptions!$H$77+(I$140=Assumptions!$H$8+3)*Assumptions!$H$78)*(1+Assumptions!$H$189)^(I$140-2026)</f>
        <v/>
      </c>
      <c r="J141" s="21">
        <f>'Sources &amp; Uses'!$G$17*((J$140=Assumptions!$H$8)*Assumptions!$H$75+(J$140=Assumptions!$H$8+1)*Assumptions!$H$76+(J$140=Assumptions!$H$8+2)*Assumptions!$H$77+(J$140=Assumptions!$H$8+3)*Assumptions!$H$78)*(1+Assumptions!$H$189)^(J$140-2026)</f>
        <v/>
      </c>
      <c r="K141" s="21">
        <f>'Sources &amp; Uses'!$G$17*((K$140=Assumptions!$H$8)*Assumptions!$H$75+(K$140=Assumptions!$H$8+1)*Assumptions!$H$76+(K$140=Assumptions!$H$8+2)*Assumptions!$H$77+(K$140=Assumptions!$H$8+3)*Assumptions!$H$78)*(1+Assumptions!$H$189)^(K$140-2026)</f>
        <v/>
      </c>
      <c r="L141" s="21">
        <f>'Sources &amp; Uses'!$G$17*((L$140=Assumptions!$H$8)*Assumptions!$H$75+(L$140=Assumptions!$H$8+1)*Assumptions!$H$76+(L$140=Assumptions!$H$8+2)*Assumptions!$H$77+(L$140=Assumptions!$H$8+3)*Assumptions!$H$78)*(1+Assumptions!$H$189)^(L$140-2026)</f>
        <v/>
      </c>
      <c r="M141" s="21">
        <f>'Sources &amp; Uses'!$G$17*((M$140=Assumptions!$H$8)*Assumptions!$H$75+(M$140=Assumptions!$H$8+1)*Assumptions!$H$76+(M$140=Assumptions!$H$8+2)*Assumptions!$H$77+(M$140=Assumptions!$H$8+3)*Assumptions!$H$78)*(1+Assumptions!$H$189)^(M$140-2026)</f>
        <v/>
      </c>
      <c r="N141" s="47">
        <f>SUM(D141:M141)</f>
        <v/>
      </c>
      <c r="O141" s="47">
        <f>'Sources &amp; Uses'!$G$17</f>
        <v/>
      </c>
      <c r="P141" s="47">
        <f>N141-O141</f>
        <v/>
      </c>
    </row>
    <row r="142">
      <c r="A142" s="9" t="inlineStr">
        <is>
          <t>Stage 0 meadow prep, sound trail and pop-up kit</t>
        </is>
      </c>
      <c r="B142" s="24" t="inlineStr">
        <is>
          <t>Stage 0</t>
        </is>
      </c>
      <c r="C142" s="24" t="inlineStr">
        <is>
          <t>Land year + 1</t>
        </is>
      </c>
      <c r="D142" s="21">
        <f>'Sources &amp; Uses'!$G$18*(D$140=Assumptions!$H$8+1)*(1+Assumptions!$H$189)^(D$140-2026)</f>
        <v/>
      </c>
      <c r="E142" s="21">
        <f>'Sources &amp; Uses'!$G$18*(E$140=Assumptions!$H$8+1)*(1+Assumptions!$H$189)^(E$140-2026)</f>
        <v/>
      </c>
      <c r="F142" s="21">
        <f>'Sources &amp; Uses'!$G$18*(F$140=Assumptions!$H$8+1)*(1+Assumptions!$H$189)^(F$140-2026)</f>
        <v/>
      </c>
      <c r="G142" s="21">
        <f>'Sources &amp; Uses'!$G$18*(G$140=Assumptions!$H$8+1)*(1+Assumptions!$H$189)^(G$140-2026)</f>
        <v/>
      </c>
      <c r="H142" s="21">
        <f>'Sources &amp; Uses'!$G$18*(H$140=Assumptions!$H$8+1)*(1+Assumptions!$H$189)^(H$140-2026)</f>
        <v/>
      </c>
      <c r="I142" s="21">
        <f>'Sources &amp; Uses'!$G$18*(I$140=Assumptions!$H$8+1)*(1+Assumptions!$H$189)^(I$140-2026)</f>
        <v/>
      </c>
      <c r="J142" s="21">
        <f>'Sources &amp; Uses'!$G$18*(J$140=Assumptions!$H$8+1)*(1+Assumptions!$H$189)^(J$140-2026)</f>
        <v/>
      </c>
      <c r="K142" s="21">
        <f>'Sources &amp; Uses'!$G$18*(K$140=Assumptions!$H$8+1)*(1+Assumptions!$H$189)^(K$140-2026)</f>
        <v/>
      </c>
      <c r="L142" s="21">
        <f>'Sources &amp; Uses'!$G$18*(L$140=Assumptions!$H$8+1)*(1+Assumptions!$H$189)^(L$140-2026)</f>
        <v/>
      </c>
      <c r="M142" s="21">
        <f>'Sources &amp; Uses'!$G$18*(M$140=Assumptions!$H$8+1)*(1+Assumptions!$H$189)^(M$140-2026)</f>
        <v/>
      </c>
      <c r="N142" s="47">
        <f>SUM(D142:M142)</f>
        <v/>
      </c>
      <c r="O142" s="47">
        <f>'Sources &amp; Uses'!$G$18</f>
        <v/>
      </c>
      <c r="P142" s="47">
        <f>N142-O142</f>
        <v/>
      </c>
    </row>
    <row r="143">
      <c r="A143" s="9" t="inlineStr">
        <is>
          <t>Land (5 to 50 acres, Ojai Valley)</t>
        </is>
      </c>
      <c r="B143" s="24" t="inlineStr">
        <is>
          <t>Phase 1</t>
        </is>
      </c>
      <c r="C143" s="24" t="inlineStr">
        <is>
          <t>Land year</t>
        </is>
      </c>
      <c r="D143" s="21">
        <f>'Sources &amp; Uses'!$G$21*(D$140=Assumptions!$H$8)*(1+Assumptions!$H$189)^(D$140-2026)</f>
        <v/>
      </c>
      <c r="E143" s="21">
        <f>'Sources &amp; Uses'!$G$21*(E$140=Assumptions!$H$8)*(1+Assumptions!$H$189)^(E$140-2026)</f>
        <v/>
      </c>
      <c r="F143" s="21">
        <f>'Sources &amp; Uses'!$G$21*(F$140=Assumptions!$H$8)*(1+Assumptions!$H$189)^(F$140-2026)</f>
        <v/>
      </c>
      <c r="G143" s="21">
        <f>'Sources &amp; Uses'!$G$21*(G$140=Assumptions!$H$8)*(1+Assumptions!$H$189)^(G$140-2026)</f>
        <v/>
      </c>
      <c r="H143" s="21">
        <f>'Sources &amp; Uses'!$G$21*(H$140=Assumptions!$H$8)*(1+Assumptions!$H$189)^(H$140-2026)</f>
        <v/>
      </c>
      <c r="I143" s="21">
        <f>'Sources &amp; Uses'!$G$21*(I$140=Assumptions!$H$8)*(1+Assumptions!$H$189)^(I$140-2026)</f>
        <v/>
      </c>
      <c r="J143" s="21">
        <f>'Sources &amp; Uses'!$G$21*(J$140=Assumptions!$H$8)*(1+Assumptions!$H$189)^(J$140-2026)</f>
        <v/>
      </c>
      <c r="K143" s="21">
        <f>'Sources &amp; Uses'!$G$21*(K$140=Assumptions!$H$8)*(1+Assumptions!$H$189)^(K$140-2026)</f>
        <v/>
      </c>
      <c r="L143" s="21">
        <f>'Sources &amp; Uses'!$G$21*(L$140=Assumptions!$H$8)*(1+Assumptions!$H$189)^(L$140-2026)</f>
        <v/>
      </c>
      <c r="M143" s="21">
        <f>'Sources &amp; Uses'!$G$21*(M$140=Assumptions!$H$8)*(1+Assumptions!$H$189)^(M$140-2026)</f>
        <v/>
      </c>
      <c r="N143" s="47">
        <f>SUM(D143:M143)</f>
        <v/>
      </c>
      <c r="O143" s="47">
        <f>'Sources &amp; Uses'!$G$21</f>
        <v/>
      </c>
      <c r="P143" s="47">
        <f>N143-O143</f>
        <v/>
      </c>
    </row>
    <row r="144">
      <c r="A144" s="9" t="inlineStr">
        <is>
          <t>Land closing costs</t>
        </is>
      </c>
      <c r="B144" s="24" t="inlineStr">
        <is>
          <t>Phase 1</t>
        </is>
      </c>
      <c r="C144" s="24" t="inlineStr">
        <is>
          <t>Land year</t>
        </is>
      </c>
      <c r="D144" s="21">
        <f>'Sources &amp; Uses'!$G$22*(D$140=Assumptions!$H$8)*(1+Assumptions!$H$189)^(D$140-2026)</f>
        <v/>
      </c>
      <c r="E144" s="21">
        <f>'Sources &amp; Uses'!$G$22*(E$140=Assumptions!$H$8)*(1+Assumptions!$H$189)^(E$140-2026)</f>
        <v/>
      </c>
      <c r="F144" s="21">
        <f>'Sources &amp; Uses'!$G$22*(F$140=Assumptions!$H$8)*(1+Assumptions!$H$189)^(F$140-2026)</f>
        <v/>
      </c>
      <c r="G144" s="21">
        <f>'Sources &amp; Uses'!$G$22*(G$140=Assumptions!$H$8)*(1+Assumptions!$H$189)^(G$140-2026)</f>
        <v/>
      </c>
      <c r="H144" s="21">
        <f>'Sources &amp; Uses'!$G$22*(H$140=Assumptions!$H$8)*(1+Assumptions!$H$189)^(H$140-2026)</f>
        <v/>
      </c>
      <c r="I144" s="21">
        <f>'Sources &amp; Uses'!$G$22*(I$140=Assumptions!$H$8)*(1+Assumptions!$H$189)^(I$140-2026)</f>
        <v/>
      </c>
      <c r="J144" s="21">
        <f>'Sources &amp; Uses'!$G$22*(J$140=Assumptions!$H$8)*(1+Assumptions!$H$189)^(J$140-2026)</f>
        <v/>
      </c>
      <c r="K144" s="21">
        <f>'Sources &amp; Uses'!$G$22*(K$140=Assumptions!$H$8)*(1+Assumptions!$H$189)^(K$140-2026)</f>
        <v/>
      </c>
      <c r="L144" s="21">
        <f>'Sources &amp; Uses'!$G$22*(L$140=Assumptions!$H$8)*(1+Assumptions!$H$189)^(L$140-2026)</f>
        <v/>
      </c>
      <c r="M144" s="21">
        <f>'Sources &amp; Uses'!$G$22*(M$140=Assumptions!$H$8)*(1+Assumptions!$H$189)^(M$140-2026)</f>
        <v/>
      </c>
      <c r="N144" s="47">
        <f>SUM(D144:M144)</f>
        <v/>
      </c>
      <c r="O144" s="47">
        <f>'Sources &amp; Uses'!$G$22</f>
        <v/>
      </c>
      <c r="P144" s="47">
        <f>N144-O144</f>
        <v/>
      </c>
    </row>
    <row r="145">
      <c r="A145" s="9" t="inlineStr">
        <is>
          <t>Site infrastructure, Phase 1 share (roads, fire access, water, wastewater, power, data)</t>
        </is>
      </c>
      <c r="B145" s="24" t="inlineStr">
        <is>
          <t>Phase 1</t>
        </is>
      </c>
      <c r="C145" s="24" t="inlineStr">
        <is>
          <t>Opening -1, 0</t>
        </is>
      </c>
      <c r="D145" s="21">
        <f>'Sources &amp; Uses'!$G$23*((D$140=Assumptions!$H$9-2)*Assumptions!$H$87+(D$140=Assumptions!$H$9-1)*Assumptions!$H$88+(D$140=Assumptions!$H$9)*Assumptions!$H$89)*(1+Assumptions!$H$189)^(D$140-2026)</f>
        <v/>
      </c>
      <c r="E145" s="21">
        <f>'Sources &amp; Uses'!$G$23*((E$140=Assumptions!$H$9-2)*Assumptions!$H$87+(E$140=Assumptions!$H$9-1)*Assumptions!$H$88+(E$140=Assumptions!$H$9)*Assumptions!$H$89)*(1+Assumptions!$H$189)^(E$140-2026)</f>
        <v/>
      </c>
      <c r="F145" s="21">
        <f>'Sources &amp; Uses'!$G$23*((F$140=Assumptions!$H$9-2)*Assumptions!$H$87+(F$140=Assumptions!$H$9-1)*Assumptions!$H$88+(F$140=Assumptions!$H$9)*Assumptions!$H$89)*(1+Assumptions!$H$189)^(F$140-2026)</f>
        <v/>
      </c>
      <c r="G145" s="21">
        <f>'Sources &amp; Uses'!$G$23*((G$140=Assumptions!$H$9-2)*Assumptions!$H$87+(G$140=Assumptions!$H$9-1)*Assumptions!$H$88+(G$140=Assumptions!$H$9)*Assumptions!$H$89)*(1+Assumptions!$H$189)^(G$140-2026)</f>
        <v/>
      </c>
      <c r="H145" s="21">
        <f>'Sources &amp; Uses'!$G$23*((H$140=Assumptions!$H$9-2)*Assumptions!$H$87+(H$140=Assumptions!$H$9-1)*Assumptions!$H$88+(H$140=Assumptions!$H$9)*Assumptions!$H$89)*(1+Assumptions!$H$189)^(H$140-2026)</f>
        <v/>
      </c>
      <c r="I145" s="21">
        <f>'Sources &amp; Uses'!$G$23*((I$140=Assumptions!$H$9-2)*Assumptions!$H$87+(I$140=Assumptions!$H$9-1)*Assumptions!$H$88+(I$140=Assumptions!$H$9)*Assumptions!$H$89)*(1+Assumptions!$H$189)^(I$140-2026)</f>
        <v/>
      </c>
      <c r="J145" s="21">
        <f>'Sources &amp; Uses'!$G$23*((J$140=Assumptions!$H$9-2)*Assumptions!$H$87+(J$140=Assumptions!$H$9-1)*Assumptions!$H$88+(J$140=Assumptions!$H$9)*Assumptions!$H$89)*(1+Assumptions!$H$189)^(J$140-2026)</f>
        <v/>
      </c>
      <c r="K145" s="21">
        <f>'Sources &amp; Uses'!$G$23*((K$140=Assumptions!$H$9-2)*Assumptions!$H$87+(K$140=Assumptions!$H$9-1)*Assumptions!$H$88+(K$140=Assumptions!$H$9)*Assumptions!$H$89)*(1+Assumptions!$H$189)^(K$140-2026)</f>
        <v/>
      </c>
      <c r="L145" s="21">
        <f>'Sources &amp; Uses'!$G$23*((L$140=Assumptions!$H$9-2)*Assumptions!$H$87+(L$140=Assumptions!$H$9-1)*Assumptions!$H$88+(L$140=Assumptions!$H$9)*Assumptions!$H$89)*(1+Assumptions!$H$189)^(L$140-2026)</f>
        <v/>
      </c>
      <c r="M145" s="21">
        <f>'Sources &amp; Uses'!$G$23*((M$140=Assumptions!$H$9-2)*Assumptions!$H$87+(M$140=Assumptions!$H$9-1)*Assumptions!$H$88+(M$140=Assumptions!$H$9)*Assumptions!$H$89)*(1+Assumptions!$H$189)^(M$140-2026)</f>
        <v/>
      </c>
      <c r="N145" s="47">
        <f>SUM(D145:M145)</f>
        <v/>
      </c>
      <c r="O145" s="47">
        <f>'Sources &amp; Uses'!$G$23</f>
        <v/>
      </c>
      <c r="P145" s="47">
        <f>N145-O145</f>
        <v/>
      </c>
    </row>
    <row r="146">
      <c r="A146" s="9" t="inlineStr">
        <is>
          <t>Fire water storage, hydrants, shutoff generator, initial fuel clearance</t>
        </is>
      </c>
      <c r="B146" s="24" t="inlineStr">
        <is>
          <t>Phase 1</t>
        </is>
      </c>
      <c r="C146" s="24" t="inlineStr">
        <is>
          <t>Opening -1, 0</t>
        </is>
      </c>
      <c r="D146" s="21">
        <f>'Sources &amp; Uses'!$G$24*((D$140=Assumptions!$H$9-2)*Assumptions!$H$87+(D$140=Assumptions!$H$9-1)*Assumptions!$H$88+(D$140=Assumptions!$H$9)*Assumptions!$H$89)*(1+Assumptions!$H$189)^(D$140-2026)</f>
        <v/>
      </c>
      <c r="E146" s="21">
        <f>'Sources &amp; Uses'!$G$24*((E$140=Assumptions!$H$9-2)*Assumptions!$H$87+(E$140=Assumptions!$H$9-1)*Assumptions!$H$88+(E$140=Assumptions!$H$9)*Assumptions!$H$89)*(1+Assumptions!$H$189)^(E$140-2026)</f>
        <v/>
      </c>
      <c r="F146" s="21">
        <f>'Sources &amp; Uses'!$G$24*((F$140=Assumptions!$H$9-2)*Assumptions!$H$87+(F$140=Assumptions!$H$9-1)*Assumptions!$H$88+(F$140=Assumptions!$H$9)*Assumptions!$H$89)*(1+Assumptions!$H$189)^(F$140-2026)</f>
        <v/>
      </c>
      <c r="G146" s="21">
        <f>'Sources &amp; Uses'!$G$24*((G$140=Assumptions!$H$9-2)*Assumptions!$H$87+(G$140=Assumptions!$H$9-1)*Assumptions!$H$88+(G$140=Assumptions!$H$9)*Assumptions!$H$89)*(1+Assumptions!$H$189)^(G$140-2026)</f>
        <v/>
      </c>
      <c r="H146" s="21">
        <f>'Sources &amp; Uses'!$G$24*((H$140=Assumptions!$H$9-2)*Assumptions!$H$87+(H$140=Assumptions!$H$9-1)*Assumptions!$H$88+(H$140=Assumptions!$H$9)*Assumptions!$H$89)*(1+Assumptions!$H$189)^(H$140-2026)</f>
        <v/>
      </c>
      <c r="I146" s="21">
        <f>'Sources &amp; Uses'!$G$24*((I$140=Assumptions!$H$9-2)*Assumptions!$H$87+(I$140=Assumptions!$H$9-1)*Assumptions!$H$88+(I$140=Assumptions!$H$9)*Assumptions!$H$89)*(1+Assumptions!$H$189)^(I$140-2026)</f>
        <v/>
      </c>
      <c r="J146" s="21">
        <f>'Sources &amp; Uses'!$G$24*((J$140=Assumptions!$H$9-2)*Assumptions!$H$87+(J$140=Assumptions!$H$9-1)*Assumptions!$H$88+(J$140=Assumptions!$H$9)*Assumptions!$H$89)*(1+Assumptions!$H$189)^(J$140-2026)</f>
        <v/>
      </c>
      <c r="K146" s="21">
        <f>'Sources &amp; Uses'!$G$24*((K$140=Assumptions!$H$9-2)*Assumptions!$H$87+(K$140=Assumptions!$H$9-1)*Assumptions!$H$88+(K$140=Assumptions!$H$9)*Assumptions!$H$89)*(1+Assumptions!$H$189)^(K$140-2026)</f>
        <v/>
      </c>
      <c r="L146" s="21">
        <f>'Sources &amp; Uses'!$G$24*((L$140=Assumptions!$H$9-2)*Assumptions!$H$87+(L$140=Assumptions!$H$9-1)*Assumptions!$H$88+(L$140=Assumptions!$H$9)*Assumptions!$H$89)*(1+Assumptions!$H$189)^(L$140-2026)</f>
        <v/>
      </c>
      <c r="M146" s="21">
        <f>'Sources &amp; Uses'!$G$24*((M$140=Assumptions!$H$9-2)*Assumptions!$H$87+(M$140=Assumptions!$H$9-1)*Assumptions!$H$88+(M$140=Assumptions!$H$9)*Assumptions!$H$89)*(1+Assumptions!$H$189)^(M$140-2026)</f>
        <v/>
      </c>
      <c r="N146" s="47">
        <f>SUM(D146:M146)</f>
        <v/>
      </c>
      <c r="O146" s="47">
        <f>'Sources &amp; Uses'!$G$24</f>
        <v/>
      </c>
      <c r="P146" s="47">
        <f>N146-O146</f>
        <v/>
      </c>
    </row>
    <row r="147">
      <c r="A147" s="9" t="inlineStr">
        <is>
          <t>Amphitheater, 150 seats (bowl, stage, canopy, back-of-house, restrooms, lighting)</t>
        </is>
      </c>
      <c r="B147" s="24" t="inlineStr">
        <is>
          <t>Phase 1</t>
        </is>
      </c>
      <c r="C147" s="24" t="inlineStr">
        <is>
          <t>Opening -1, 0</t>
        </is>
      </c>
      <c r="D147" s="21">
        <f>'Sources &amp; Uses'!$G$25*((D$140=Assumptions!$H$9-2)*Assumptions!$H$87+(D$140=Assumptions!$H$9-1)*Assumptions!$H$88+(D$140=Assumptions!$H$9)*Assumptions!$H$89)*(1+Assumptions!$H$189)^(D$140-2026)</f>
        <v/>
      </c>
      <c r="E147" s="21">
        <f>'Sources &amp; Uses'!$G$25*((E$140=Assumptions!$H$9-2)*Assumptions!$H$87+(E$140=Assumptions!$H$9-1)*Assumptions!$H$88+(E$140=Assumptions!$H$9)*Assumptions!$H$89)*(1+Assumptions!$H$189)^(E$140-2026)</f>
        <v/>
      </c>
      <c r="F147" s="21">
        <f>'Sources &amp; Uses'!$G$25*((F$140=Assumptions!$H$9-2)*Assumptions!$H$87+(F$140=Assumptions!$H$9-1)*Assumptions!$H$88+(F$140=Assumptions!$H$9)*Assumptions!$H$89)*(1+Assumptions!$H$189)^(F$140-2026)</f>
        <v/>
      </c>
      <c r="G147" s="21">
        <f>'Sources &amp; Uses'!$G$25*((G$140=Assumptions!$H$9-2)*Assumptions!$H$87+(G$140=Assumptions!$H$9-1)*Assumptions!$H$88+(G$140=Assumptions!$H$9)*Assumptions!$H$89)*(1+Assumptions!$H$189)^(G$140-2026)</f>
        <v/>
      </c>
      <c r="H147" s="21">
        <f>'Sources &amp; Uses'!$G$25*((H$140=Assumptions!$H$9-2)*Assumptions!$H$87+(H$140=Assumptions!$H$9-1)*Assumptions!$H$88+(H$140=Assumptions!$H$9)*Assumptions!$H$89)*(1+Assumptions!$H$189)^(H$140-2026)</f>
        <v/>
      </c>
      <c r="I147" s="21">
        <f>'Sources &amp; Uses'!$G$25*((I$140=Assumptions!$H$9-2)*Assumptions!$H$87+(I$140=Assumptions!$H$9-1)*Assumptions!$H$88+(I$140=Assumptions!$H$9)*Assumptions!$H$89)*(1+Assumptions!$H$189)^(I$140-2026)</f>
        <v/>
      </c>
      <c r="J147" s="21">
        <f>'Sources &amp; Uses'!$G$25*((J$140=Assumptions!$H$9-2)*Assumptions!$H$87+(J$140=Assumptions!$H$9-1)*Assumptions!$H$88+(J$140=Assumptions!$H$9)*Assumptions!$H$89)*(1+Assumptions!$H$189)^(J$140-2026)</f>
        <v/>
      </c>
      <c r="K147" s="21">
        <f>'Sources &amp; Uses'!$G$25*((K$140=Assumptions!$H$9-2)*Assumptions!$H$87+(K$140=Assumptions!$H$9-1)*Assumptions!$H$88+(K$140=Assumptions!$H$9)*Assumptions!$H$89)*(1+Assumptions!$H$189)^(K$140-2026)</f>
        <v/>
      </c>
      <c r="L147" s="21">
        <f>'Sources &amp; Uses'!$G$25*((L$140=Assumptions!$H$9-2)*Assumptions!$H$87+(L$140=Assumptions!$H$9-1)*Assumptions!$H$88+(L$140=Assumptions!$H$9)*Assumptions!$H$89)*(1+Assumptions!$H$189)^(L$140-2026)</f>
        <v/>
      </c>
      <c r="M147" s="21">
        <f>'Sources &amp; Uses'!$G$25*((M$140=Assumptions!$H$9-2)*Assumptions!$H$87+(M$140=Assumptions!$H$9-1)*Assumptions!$H$88+(M$140=Assumptions!$H$9)*Assumptions!$H$89)*(1+Assumptions!$H$189)^(M$140-2026)</f>
        <v/>
      </c>
      <c r="N147" s="47">
        <f>SUM(D147:M147)</f>
        <v/>
      </c>
      <c r="O147" s="47">
        <f>'Sources &amp; Uses'!$G$25</f>
        <v/>
      </c>
      <c r="P147" s="47">
        <f>N147-O147</f>
        <v/>
      </c>
    </row>
    <row r="148">
      <c r="A148" s="9" t="inlineStr">
        <is>
          <t>Sculptural sound system</t>
        </is>
      </c>
      <c r="B148" s="24" t="inlineStr">
        <is>
          <t>Phase 1</t>
        </is>
      </c>
      <c r="C148" s="24" t="inlineStr">
        <is>
          <t>Opening -1, 0</t>
        </is>
      </c>
      <c r="D148" s="21">
        <f>'Sources &amp; Uses'!$G$26*((D$140=Assumptions!$H$9-1)*Assumptions!$H$95+(D$140=Assumptions!$H$9)*Assumptions!$H$96)*(1+Assumptions!$H$189)^(D$140-2026)</f>
        <v/>
      </c>
      <c r="E148" s="21">
        <f>'Sources &amp; Uses'!$G$26*((E$140=Assumptions!$H$9-1)*Assumptions!$H$95+(E$140=Assumptions!$H$9)*Assumptions!$H$96)*(1+Assumptions!$H$189)^(E$140-2026)</f>
        <v/>
      </c>
      <c r="F148" s="21">
        <f>'Sources &amp; Uses'!$G$26*((F$140=Assumptions!$H$9-1)*Assumptions!$H$95+(F$140=Assumptions!$H$9)*Assumptions!$H$96)*(1+Assumptions!$H$189)^(F$140-2026)</f>
        <v/>
      </c>
      <c r="G148" s="21">
        <f>'Sources &amp; Uses'!$G$26*((G$140=Assumptions!$H$9-1)*Assumptions!$H$95+(G$140=Assumptions!$H$9)*Assumptions!$H$96)*(1+Assumptions!$H$189)^(G$140-2026)</f>
        <v/>
      </c>
      <c r="H148" s="21">
        <f>'Sources &amp; Uses'!$G$26*((H$140=Assumptions!$H$9-1)*Assumptions!$H$95+(H$140=Assumptions!$H$9)*Assumptions!$H$96)*(1+Assumptions!$H$189)^(H$140-2026)</f>
        <v/>
      </c>
      <c r="I148" s="21">
        <f>'Sources &amp; Uses'!$G$26*((I$140=Assumptions!$H$9-1)*Assumptions!$H$95+(I$140=Assumptions!$H$9)*Assumptions!$H$96)*(1+Assumptions!$H$189)^(I$140-2026)</f>
        <v/>
      </c>
      <c r="J148" s="21">
        <f>'Sources &amp; Uses'!$G$26*((J$140=Assumptions!$H$9-1)*Assumptions!$H$95+(J$140=Assumptions!$H$9)*Assumptions!$H$96)*(1+Assumptions!$H$189)^(J$140-2026)</f>
        <v/>
      </c>
      <c r="K148" s="21">
        <f>'Sources &amp; Uses'!$G$26*((K$140=Assumptions!$H$9-1)*Assumptions!$H$95+(K$140=Assumptions!$H$9)*Assumptions!$H$96)*(1+Assumptions!$H$189)^(K$140-2026)</f>
        <v/>
      </c>
      <c r="L148" s="21">
        <f>'Sources &amp; Uses'!$G$26*((L$140=Assumptions!$H$9-1)*Assumptions!$H$95+(L$140=Assumptions!$H$9)*Assumptions!$H$96)*(1+Assumptions!$H$189)^(L$140-2026)</f>
        <v/>
      </c>
      <c r="M148" s="21">
        <f>'Sources &amp; Uses'!$G$26*((M$140=Assumptions!$H$9-1)*Assumptions!$H$95+(M$140=Assumptions!$H$9)*Assumptions!$H$96)*(1+Assumptions!$H$189)^(M$140-2026)</f>
        <v/>
      </c>
      <c r="N148" s="47">
        <f>SUM(D148:M148)</f>
        <v/>
      </c>
      <c r="O148" s="47">
        <f>'Sources &amp; Uses'!$G$26</f>
        <v/>
      </c>
      <c r="P148" s="47">
        <f>N148-O148</f>
        <v/>
      </c>
    </row>
    <row r="149">
      <c r="A149" s="9" t="inlineStr">
        <is>
          <t>Arcana cabins, Phase 1 (all 12)</t>
        </is>
      </c>
      <c r="B149" s="24" t="inlineStr">
        <is>
          <t>Phase 1</t>
        </is>
      </c>
      <c r="C149" s="24" t="inlineStr">
        <is>
          <t>50% order, 50% delivery</t>
        </is>
      </c>
      <c r="D149" s="21">
        <f>'Sources &amp; Uses'!$G$27*((D$140=Assumptions!$H$9-1)*Assumptions!$H$93+(D$140=Assumptions!$H$9)*Assumptions!$H$94)*(1+Assumptions!$H$189)^(D$140-2026)</f>
        <v/>
      </c>
      <c r="E149" s="21">
        <f>'Sources &amp; Uses'!$G$27*((E$140=Assumptions!$H$9-1)*Assumptions!$H$93+(E$140=Assumptions!$H$9)*Assumptions!$H$94)*(1+Assumptions!$H$189)^(E$140-2026)</f>
        <v/>
      </c>
      <c r="F149" s="21">
        <f>'Sources &amp; Uses'!$G$27*((F$140=Assumptions!$H$9-1)*Assumptions!$H$93+(F$140=Assumptions!$H$9)*Assumptions!$H$94)*(1+Assumptions!$H$189)^(F$140-2026)</f>
        <v/>
      </c>
      <c r="G149" s="21">
        <f>'Sources &amp; Uses'!$G$27*((G$140=Assumptions!$H$9-1)*Assumptions!$H$93+(G$140=Assumptions!$H$9)*Assumptions!$H$94)*(1+Assumptions!$H$189)^(G$140-2026)</f>
        <v/>
      </c>
      <c r="H149" s="21">
        <f>'Sources &amp; Uses'!$G$27*((H$140=Assumptions!$H$9-1)*Assumptions!$H$93+(H$140=Assumptions!$H$9)*Assumptions!$H$94)*(1+Assumptions!$H$189)^(H$140-2026)</f>
        <v/>
      </c>
      <c r="I149" s="21">
        <f>'Sources &amp; Uses'!$G$27*((I$140=Assumptions!$H$9-1)*Assumptions!$H$93+(I$140=Assumptions!$H$9)*Assumptions!$H$94)*(1+Assumptions!$H$189)^(I$140-2026)</f>
        <v/>
      </c>
      <c r="J149" s="21">
        <f>'Sources &amp; Uses'!$G$27*((J$140=Assumptions!$H$9-1)*Assumptions!$H$93+(J$140=Assumptions!$H$9)*Assumptions!$H$94)*(1+Assumptions!$H$189)^(J$140-2026)</f>
        <v/>
      </c>
      <c r="K149" s="21">
        <f>'Sources &amp; Uses'!$G$27*((K$140=Assumptions!$H$9-1)*Assumptions!$H$93+(K$140=Assumptions!$H$9)*Assumptions!$H$94)*(1+Assumptions!$H$189)^(K$140-2026)</f>
        <v/>
      </c>
      <c r="L149" s="21">
        <f>'Sources &amp; Uses'!$G$27*((L$140=Assumptions!$H$9-1)*Assumptions!$H$93+(L$140=Assumptions!$H$9)*Assumptions!$H$94)*(1+Assumptions!$H$189)^(L$140-2026)</f>
        <v/>
      </c>
      <c r="M149" s="21">
        <f>'Sources &amp; Uses'!$G$27*((M$140=Assumptions!$H$9-1)*Assumptions!$H$93+(M$140=Assumptions!$H$9)*Assumptions!$H$94)*(1+Assumptions!$H$189)^(M$140-2026)</f>
        <v/>
      </c>
      <c r="N149" s="47">
        <f>SUM(D149:M149)</f>
        <v/>
      </c>
      <c r="O149" s="47">
        <f>'Sources &amp; Uses'!$G$27</f>
        <v/>
      </c>
      <c r="P149" s="47">
        <f>N149-O149</f>
        <v/>
      </c>
    </row>
    <row r="150">
      <c r="A150" s="9" t="inlineStr">
        <is>
          <t>Bathhouse: sauna, cold plunge and hot tub, shared</t>
        </is>
      </c>
      <c r="B150" s="24" t="inlineStr">
        <is>
          <t>Phase 1</t>
        </is>
      </c>
      <c r="C150" s="24" t="inlineStr">
        <is>
          <t>Opening -1, 0</t>
        </is>
      </c>
      <c r="D150" s="21">
        <f>'Sources &amp; Uses'!$G$28*((D$140=Assumptions!$H$9-2)*Assumptions!$H$87+(D$140=Assumptions!$H$9-1)*Assumptions!$H$88+(D$140=Assumptions!$H$9)*Assumptions!$H$89)*(1+Assumptions!$H$189)^(D$140-2026)</f>
        <v/>
      </c>
      <c r="E150" s="21">
        <f>'Sources &amp; Uses'!$G$28*((E$140=Assumptions!$H$9-2)*Assumptions!$H$87+(E$140=Assumptions!$H$9-1)*Assumptions!$H$88+(E$140=Assumptions!$H$9)*Assumptions!$H$89)*(1+Assumptions!$H$189)^(E$140-2026)</f>
        <v/>
      </c>
      <c r="F150" s="21">
        <f>'Sources &amp; Uses'!$G$28*((F$140=Assumptions!$H$9-2)*Assumptions!$H$87+(F$140=Assumptions!$H$9-1)*Assumptions!$H$88+(F$140=Assumptions!$H$9)*Assumptions!$H$89)*(1+Assumptions!$H$189)^(F$140-2026)</f>
        <v/>
      </c>
      <c r="G150" s="21">
        <f>'Sources &amp; Uses'!$G$28*((G$140=Assumptions!$H$9-2)*Assumptions!$H$87+(G$140=Assumptions!$H$9-1)*Assumptions!$H$88+(G$140=Assumptions!$H$9)*Assumptions!$H$89)*(1+Assumptions!$H$189)^(G$140-2026)</f>
        <v/>
      </c>
      <c r="H150" s="21">
        <f>'Sources &amp; Uses'!$G$28*((H$140=Assumptions!$H$9-2)*Assumptions!$H$87+(H$140=Assumptions!$H$9-1)*Assumptions!$H$88+(H$140=Assumptions!$H$9)*Assumptions!$H$89)*(1+Assumptions!$H$189)^(H$140-2026)</f>
        <v/>
      </c>
      <c r="I150" s="21">
        <f>'Sources &amp; Uses'!$G$28*((I$140=Assumptions!$H$9-2)*Assumptions!$H$87+(I$140=Assumptions!$H$9-1)*Assumptions!$H$88+(I$140=Assumptions!$H$9)*Assumptions!$H$89)*(1+Assumptions!$H$189)^(I$140-2026)</f>
        <v/>
      </c>
      <c r="J150" s="21">
        <f>'Sources &amp; Uses'!$G$28*((J$140=Assumptions!$H$9-2)*Assumptions!$H$87+(J$140=Assumptions!$H$9-1)*Assumptions!$H$88+(J$140=Assumptions!$H$9)*Assumptions!$H$89)*(1+Assumptions!$H$189)^(J$140-2026)</f>
        <v/>
      </c>
      <c r="K150" s="21">
        <f>'Sources &amp; Uses'!$G$28*((K$140=Assumptions!$H$9-2)*Assumptions!$H$87+(K$140=Assumptions!$H$9-1)*Assumptions!$H$88+(K$140=Assumptions!$H$9)*Assumptions!$H$89)*(1+Assumptions!$H$189)^(K$140-2026)</f>
        <v/>
      </c>
      <c r="L150" s="21">
        <f>'Sources &amp; Uses'!$G$28*((L$140=Assumptions!$H$9-2)*Assumptions!$H$87+(L$140=Assumptions!$H$9-1)*Assumptions!$H$88+(L$140=Assumptions!$H$9)*Assumptions!$H$89)*(1+Assumptions!$H$189)^(L$140-2026)</f>
        <v/>
      </c>
      <c r="M150" s="21">
        <f>'Sources &amp; Uses'!$G$28*((M$140=Assumptions!$H$9-2)*Assumptions!$H$87+(M$140=Assumptions!$H$9-1)*Assumptions!$H$88+(M$140=Assumptions!$H$9)*Assumptions!$H$89)*(1+Assumptions!$H$189)^(M$140-2026)</f>
        <v/>
      </c>
      <c r="N150" s="47">
        <f>SUM(D150:M150)</f>
        <v/>
      </c>
      <c r="O150" s="47">
        <f>'Sources &amp; Uses'!$G$28</f>
        <v/>
      </c>
      <c r="P150" s="47">
        <f>N150-O150</f>
        <v/>
      </c>
    </row>
    <row r="151">
      <c r="A151" s="9" t="inlineStr">
        <is>
          <t>Temporary kitchen (none: caterers until the gallery kitchen opens)</t>
        </is>
      </c>
      <c r="B151" s="24" t="inlineStr">
        <is>
          <t>Phase 1</t>
        </is>
      </c>
      <c r="C151" s="24" t="inlineStr">
        <is>
          <t>Opening year</t>
        </is>
      </c>
      <c r="D151" s="21">
        <f>'Sources &amp; Uses'!$G$29*(D$140=Assumptions!$H$9)*(1+Assumptions!$H$189)^(D$140-2026)</f>
        <v/>
      </c>
      <c r="E151" s="21">
        <f>'Sources &amp; Uses'!$G$29*(E$140=Assumptions!$H$9)*(1+Assumptions!$H$189)^(E$140-2026)</f>
        <v/>
      </c>
      <c r="F151" s="21">
        <f>'Sources &amp; Uses'!$G$29*(F$140=Assumptions!$H$9)*(1+Assumptions!$H$189)^(F$140-2026)</f>
        <v/>
      </c>
      <c r="G151" s="21">
        <f>'Sources &amp; Uses'!$G$29*(G$140=Assumptions!$H$9)*(1+Assumptions!$H$189)^(G$140-2026)</f>
        <v/>
      </c>
      <c r="H151" s="21">
        <f>'Sources &amp; Uses'!$G$29*(H$140=Assumptions!$H$9)*(1+Assumptions!$H$189)^(H$140-2026)</f>
        <v/>
      </c>
      <c r="I151" s="21">
        <f>'Sources &amp; Uses'!$G$29*(I$140=Assumptions!$H$9)*(1+Assumptions!$H$189)^(I$140-2026)</f>
        <v/>
      </c>
      <c r="J151" s="21">
        <f>'Sources &amp; Uses'!$G$29*(J$140=Assumptions!$H$9)*(1+Assumptions!$H$189)^(J$140-2026)</f>
        <v/>
      </c>
      <c r="K151" s="21">
        <f>'Sources &amp; Uses'!$G$29*(K$140=Assumptions!$H$9)*(1+Assumptions!$H$189)^(K$140-2026)</f>
        <v/>
      </c>
      <c r="L151" s="21">
        <f>'Sources &amp; Uses'!$G$29*(L$140=Assumptions!$H$9)*(1+Assumptions!$H$189)^(L$140-2026)</f>
        <v/>
      </c>
      <c r="M151" s="21">
        <f>'Sources &amp; Uses'!$G$29*(M$140=Assumptions!$H$9)*(1+Assumptions!$H$189)^(M$140-2026)</f>
        <v/>
      </c>
      <c r="N151" s="47">
        <f>SUM(D151:M151)</f>
        <v/>
      </c>
      <c r="O151" s="47">
        <f>'Sources &amp; Uses'!$G$29</f>
        <v/>
      </c>
      <c r="P151" s="47">
        <f>N151-O151</f>
        <v/>
      </c>
    </row>
    <row r="152">
      <c r="A152" s="9" t="inlineStr">
        <is>
          <t>School fees, Casitas water capital charge, HCD factory-built approval (one-time)</t>
        </is>
      </c>
      <c r="B152" s="24" t="inlineStr">
        <is>
          <t>Phase 1</t>
        </is>
      </c>
      <c r="C152" s="24" t="inlineStr">
        <is>
          <t>Opening -1, 0</t>
        </is>
      </c>
      <c r="D152" s="21">
        <f>'Sources &amp; Uses'!$G$30*((D$140=Assumptions!$H$9-2)*Assumptions!$H$87+(D$140=Assumptions!$H$9-1)*Assumptions!$H$88+(D$140=Assumptions!$H$9)*Assumptions!$H$89)*(1+Assumptions!$H$189)^(D$140-2026)</f>
        <v/>
      </c>
      <c r="E152" s="21">
        <f>'Sources &amp; Uses'!$G$30*((E$140=Assumptions!$H$9-2)*Assumptions!$H$87+(E$140=Assumptions!$H$9-1)*Assumptions!$H$88+(E$140=Assumptions!$H$9)*Assumptions!$H$89)*(1+Assumptions!$H$189)^(E$140-2026)</f>
        <v/>
      </c>
      <c r="F152" s="21">
        <f>'Sources &amp; Uses'!$G$30*((F$140=Assumptions!$H$9-2)*Assumptions!$H$87+(F$140=Assumptions!$H$9-1)*Assumptions!$H$88+(F$140=Assumptions!$H$9)*Assumptions!$H$89)*(1+Assumptions!$H$189)^(F$140-2026)</f>
        <v/>
      </c>
      <c r="G152" s="21">
        <f>'Sources &amp; Uses'!$G$30*((G$140=Assumptions!$H$9-2)*Assumptions!$H$87+(G$140=Assumptions!$H$9-1)*Assumptions!$H$88+(G$140=Assumptions!$H$9)*Assumptions!$H$89)*(1+Assumptions!$H$189)^(G$140-2026)</f>
        <v/>
      </c>
      <c r="H152" s="21">
        <f>'Sources &amp; Uses'!$G$30*((H$140=Assumptions!$H$9-2)*Assumptions!$H$87+(H$140=Assumptions!$H$9-1)*Assumptions!$H$88+(H$140=Assumptions!$H$9)*Assumptions!$H$89)*(1+Assumptions!$H$189)^(H$140-2026)</f>
        <v/>
      </c>
      <c r="I152" s="21">
        <f>'Sources &amp; Uses'!$G$30*((I$140=Assumptions!$H$9-2)*Assumptions!$H$87+(I$140=Assumptions!$H$9-1)*Assumptions!$H$88+(I$140=Assumptions!$H$9)*Assumptions!$H$89)*(1+Assumptions!$H$189)^(I$140-2026)</f>
        <v/>
      </c>
      <c r="J152" s="21">
        <f>'Sources &amp; Uses'!$G$30*((J$140=Assumptions!$H$9-2)*Assumptions!$H$87+(J$140=Assumptions!$H$9-1)*Assumptions!$H$88+(J$140=Assumptions!$H$9)*Assumptions!$H$89)*(1+Assumptions!$H$189)^(J$140-2026)</f>
        <v/>
      </c>
      <c r="K152" s="21">
        <f>'Sources &amp; Uses'!$G$30*((K$140=Assumptions!$H$9-2)*Assumptions!$H$87+(K$140=Assumptions!$H$9-1)*Assumptions!$H$88+(K$140=Assumptions!$H$9)*Assumptions!$H$89)*(1+Assumptions!$H$189)^(K$140-2026)</f>
        <v/>
      </c>
      <c r="L152" s="21">
        <f>'Sources &amp; Uses'!$G$30*((L$140=Assumptions!$H$9-2)*Assumptions!$H$87+(L$140=Assumptions!$H$9-1)*Assumptions!$H$88+(L$140=Assumptions!$H$9)*Assumptions!$H$89)*(1+Assumptions!$H$189)^(L$140-2026)</f>
        <v/>
      </c>
      <c r="M152" s="21">
        <f>'Sources &amp; Uses'!$G$30*((M$140=Assumptions!$H$9-2)*Assumptions!$H$87+(M$140=Assumptions!$H$9-1)*Assumptions!$H$88+(M$140=Assumptions!$H$9)*Assumptions!$H$89)*(1+Assumptions!$H$189)^(M$140-2026)</f>
        <v/>
      </c>
      <c r="N152" s="47">
        <f>SUM(D152:M152)</f>
        <v/>
      </c>
      <c r="O152" s="47">
        <f>'Sources &amp; Uses'!$G$30</f>
        <v/>
      </c>
      <c r="P152" s="47">
        <f>N152-O152</f>
        <v/>
      </c>
    </row>
    <row r="153">
      <c r="A153" s="9" t="inlineStr">
        <is>
          <t>Maintenance building and one staff unit</t>
        </is>
      </c>
      <c r="B153" s="24" t="inlineStr">
        <is>
          <t>Phase 1</t>
        </is>
      </c>
      <c r="C153" s="24" t="inlineStr">
        <is>
          <t>Opening -1, 0</t>
        </is>
      </c>
      <c r="D153" s="21">
        <f>'Sources &amp; Uses'!$G$31*((D$140=Assumptions!$H$9-2)*Assumptions!$H$87+(D$140=Assumptions!$H$9-1)*Assumptions!$H$88+(D$140=Assumptions!$H$9)*Assumptions!$H$89)*(1+Assumptions!$H$189)^(D$140-2026)</f>
        <v/>
      </c>
      <c r="E153" s="21">
        <f>'Sources &amp; Uses'!$G$31*((E$140=Assumptions!$H$9-2)*Assumptions!$H$87+(E$140=Assumptions!$H$9-1)*Assumptions!$H$88+(E$140=Assumptions!$H$9)*Assumptions!$H$89)*(1+Assumptions!$H$189)^(E$140-2026)</f>
        <v/>
      </c>
      <c r="F153" s="21">
        <f>'Sources &amp; Uses'!$G$31*((F$140=Assumptions!$H$9-2)*Assumptions!$H$87+(F$140=Assumptions!$H$9-1)*Assumptions!$H$88+(F$140=Assumptions!$H$9)*Assumptions!$H$89)*(1+Assumptions!$H$189)^(F$140-2026)</f>
        <v/>
      </c>
      <c r="G153" s="21">
        <f>'Sources &amp; Uses'!$G$31*((G$140=Assumptions!$H$9-2)*Assumptions!$H$87+(G$140=Assumptions!$H$9-1)*Assumptions!$H$88+(G$140=Assumptions!$H$9)*Assumptions!$H$89)*(1+Assumptions!$H$189)^(G$140-2026)</f>
        <v/>
      </c>
      <c r="H153" s="21">
        <f>'Sources &amp; Uses'!$G$31*((H$140=Assumptions!$H$9-2)*Assumptions!$H$87+(H$140=Assumptions!$H$9-1)*Assumptions!$H$88+(H$140=Assumptions!$H$9)*Assumptions!$H$89)*(1+Assumptions!$H$189)^(H$140-2026)</f>
        <v/>
      </c>
      <c r="I153" s="21">
        <f>'Sources &amp; Uses'!$G$31*((I$140=Assumptions!$H$9-2)*Assumptions!$H$87+(I$140=Assumptions!$H$9-1)*Assumptions!$H$88+(I$140=Assumptions!$H$9)*Assumptions!$H$89)*(1+Assumptions!$H$189)^(I$140-2026)</f>
        <v/>
      </c>
      <c r="J153" s="21">
        <f>'Sources &amp; Uses'!$G$31*((J$140=Assumptions!$H$9-2)*Assumptions!$H$87+(J$140=Assumptions!$H$9-1)*Assumptions!$H$88+(J$140=Assumptions!$H$9)*Assumptions!$H$89)*(1+Assumptions!$H$189)^(J$140-2026)</f>
        <v/>
      </c>
      <c r="K153" s="21">
        <f>'Sources &amp; Uses'!$G$31*((K$140=Assumptions!$H$9-2)*Assumptions!$H$87+(K$140=Assumptions!$H$9-1)*Assumptions!$H$88+(K$140=Assumptions!$H$9)*Assumptions!$H$89)*(1+Assumptions!$H$189)^(K$140-2026)</f>
        <v/>
      </c>
      <c r="L153" s="21">
        <f>'Sources &amp; Uses'!$G$31*((L$140=Assumptions!$H$9-2)*Assumptions!$H$87+(L$140=Assumptions!$H$9-1)*Assumptions!$H$88+(L$140=Assumptions!$H$9)*Assumptions!$H$89)*(1+Assumptions!$H$189)^(L$140-2026)</f>
        <v/>
      </c>
      <c r="M153" s="21">
        <f>'Sources &amp; Uses'!$G$31*((M$140=Assumptions!$H$9-2)*Assumptions!$H$87+(M$140=Assumptions!$H$9-1)*Assumptions!$H$88+(M$140=Assumptions!$H$9)*Assumptions!$H$89)*(1+Assumptions!$H$189)^(M$140-2026)</f>
        <v/>
      </c>
      <c r="N153" s="47">
        <f>SUM(D153:M153)</f>
        <v/>
      </c>
      <c r="O153" s="47">
        <f>'Sources &amp; Uses'!$G$31</f>
        <v/>
      </c>
      <c r="P153" s="47">
        <f>N153-O153</f>
        <v/>
      </c>
    </row>
    <row r="154">
      <c r="A154" s="9" t="inlineStr">
        <is>
          <t>Landscaping and artwork, Phase 1 share</t>
        </is>
      </c>
      <c r="B154" s="24" t="inlineStr">
        <is>
          <t>Phase 1</t>
        </is>
      </c>
      <c r="C154" s="24" t="inlineStr">
        <is>
          <t>Opening -1, 0</t>
        </is>
      </c>
      <c r="D154" s="21">
        <f>'Sources &amp; Uses'!$G$32*((D$140=Assumptions!$H$9-2)*Assumptions!$H$87+(D$140=Assumptions!$H$9-1)*Assumptions!$H$88+(D$140=Assumptions!$H$9)*Assumptions!$H$89)*(1+Assumptions!$H$189)^(D$140-2026)</f>
        <v/>
      </c>
      <c r="E154" s="21">
        <f>'Sources &amp; Uses'!$G$32*((E$140=Assumptions!$H$9-2)*Assumptions!$H$87+(E$140=Assumptions!$H$9-1)*Assumptions!$H$88+(E$140=Assumptions!$H$9)*Assumptions!$H$89)*(1+Assumptions!$H$189)^(E$140-2026)</f>
        <v/>
      </c>
      <c r="F154" s="21">
        <f>'Sources &amp; Uses'!$G$32*((F$140=Assumptions!$H$9-2)*Assumptions!$H$87+(F$140=Assumptions!$H$9-1)*Assumptions!$H$88+(F$140=Assumptions!$H$9)*Assumptions!$H$89)*(1+Assumptions!$H$189)^(F$140-2026)</f>
        <v/>
      </c>
      <c r="G154" s="21">
        <f>'Sources &amp; Uses'!$G$32*((G$140=Assumptions!$H$9-2)*Assumptions!$H$87+(G$140=Assumptions!$H$9-1)*Assumptions!$H$88+(G$140=Assumptions!$H$9)*Assumptions!$H$89)*(1+Assumptions!$H$189)^(G$140-2026)</f>
        <v/>
      </c>
      <c r="H154" s="21">
        <f>'Sources &amp; Uses'!$G$32*((H$140=Assumptions!$H$9-2)*Assumptions!$H$87+(H$140=Assumptions!$H$9-1)*Assumptions!$H$88+(H$140=Assumptions!$H$9)*Assumptions!$H$89)*(1+Assumptions!$H$189)^(H$140-2026)</f>
        <v/>
      </c>
      <c r="I154" s="21">
        <f>'Sources &amp; Uses'!$G$32*((I$140=Assumptions!$H$9-2)*Assumptions!$H$87+(I$140=Assumptions!$H$9-1)*Assumptions!$H$88+(I$140=Assumptions!$H$9)*Assumptions!$H$89)*(1+Assumptions!$H$189)^(I$140-2026)</f>
        <v/>
      </c>
      <c r="J154" s="21">
        <f>'Sources &amp; Uses'!$G$32*((J$140=Assumptions!$H$9-2)*Assumptions!$H$87+(J$140=Assumptions!$H$9-1)*Assumptions!$H$88+(J$140=Assumptions!$H$9)*Assumptions!$H$89)*(1+Assumptions!$H$189)^(J$140-2026)</f>
        <v/>
      </c>
      <c r="K154" s="21">
        <f>'Sources &amp; Uses'!$G$32*((K$140=Assumptions!$H$9-2)*Assumptions!$H$87+(K$140=Assumptions!$H$9-1)*Assumptions!$H$88+(K$140=Assumptions!$H$9)*Assumptions!$H$89)*(1+Assumptions!$H$189)^(K$140-2026)</f>
        <v/>
      </c>
      <c r="L154" s="21">
        <f>'Sources &amp; Uses'!$G$32*((L$140=Assumptions!$H$9-2)*Assumptions!$H$87+(L$140=Assumptions!$H$9-1)*Assumptions!$H$88+(L$140=Assumptions!$H$9)*Assumptions!$H$89)*(1+Assumptions!$H$189)^(L$140-2026)</f>
        <v/>
      </c>
      <c r="M154" s="21">
        <f>'Sources &amp; Uses'!$G$32*((M$140=Assumptions!$H$9-2)*Assumptions!$H$87+(M$140=Assumptions!$H$9-1)*Assumptions!$H$88+(M$140=Assumptions!$H$9)*Assumptions!$H$89)*(1+Assumptions!$H$189)^(M$140-2026)</f>
        <v/>
      </c>
      <c r="N154" s="47">
        <f>SUM(D154:M154)</f>
        <v/>
      </c>
      <c r="O154" s="47">
        <f>'Sources &amp; Uses'!$G$32</f>
        <v/>
      </c>
      <c r="P154" s="47">
        <f>N154-O154</f>
        <v/>
      </c>
    </row>
    <row r="155">
      <c r="A155" s="9" t="inlineStr">
        <is>
          <t>FF&amp;E, vehicles and operating equipment, Phase 1 share</t>
        </is>
      </c>
      <c r="B155" s="24" t="inlineStr">
        <is>
          <t>Phase 1</t>
        </is>
      </c>
      <c r="C155" s="24" t="inlineStr">
        <is>
          <t>Opening year</t>
        </is>
      </c>
      <c r="D155" s="21">
        <f>'Sources &amp; Uses'!$G$33*(D$140=Assumptions!$H$9)*(1+Assumptions!$H$189)^(D$140-2026)</f>
        <v/>
      </c>
      <c r="E155" s="21">
        <f>'Sources &amp; Uses'!$G$33*(E$140=Assumptions!$H$9)*(1+Assumptions!$H$189)^(E$140-2026)</f>
        <v/>
      </c>
      <c r="F155" s="21">
        <f>'Sources &amp; Uses'!$G$33*(F$140=Assumptions!$H$9)*(1+Assumptions!$H$189)^(F$140-2026)</f>
        <v/>
      </c>
      <c r="G155" s="21">
        <f>'Sources &amp; Uses'!$G$33*(G$140=Assumptions!$H$9)*(1+Assumptions!$H$189)^(G$140-2026)</f>
        <v/>
      </c>
      <c r="H155" s="21">
        <f>'Sources &amp; Uses'!$G$33*(H$140=Assumptions!$H$9)*(1+Assumptions!$H$189)^(H$140-2026)</f>
        <v/>
      </c>
      <c r="I155" s="21">
        <f>'Sources &amp; Uses'!$G$33*(I$140=Assumptions!$H$9)*(1+Assumptions!$H$189)^(I$140-2026)</f>
        <v/>
      </c>
      <c r="J155" s="21">
        <f>'Sources &amp; Uses'!$G$33*(J$140=Assumptions!$H$9)*(1+Assumptions!$H$189)^(J$140-2026)</f>
        <v/>
      </c>
      <c r="K155" s="21">
        <f>'Sources &amp; Uses'!$G$33*(K$140=Assumptions!$H$9)*(1+Assumptions!$H$189)^(K$140-2026)</f>
        <v/>
      </c>
      <c r="L155" s="21">
        <f>'Sources &amp; Uses'!$G$33*(L$140=Assumptions!$H$9)*(1+Assumptions!$H$189)^(L$140-2026)</f>
        <v/>
      </c>
      <c r="M155" s="21">
        <f>'Sources &amp; Uses'!$G$33*(M$140=Assumptions!$H$9)*(1+Assumptions!$H$189)^(M$140-2026)</f>
        <v/>
      </c>
      <c r="N155" s="47">
        <f>SUM(D155:M155)</f>
        <v/>
      </c>
      <c r="O155" s="47">
        <f>'Sources &amp; Uses'!$G$33</f>
        <v/>
      </c>
      <c r="P155" s="47">
        <f>N155-O155</f>
        <v/>
      </c>
    </row>
    <row r="156">
      <c r="A156" s="9" t="inlineStr">
        <is>
          <t>Soft costs, Phase 1 (design, engineering, acoustics, permits, fees, PM)</t>
        </is>
      </c>
      <c r="B156" s="24" t="inlineStr">
        <is>
          <t>Phase 1</t>
        </is>
      </c>
      <c r="C156" s="24" t="inlineStr">
        <is>
          <t>Opening -3 to 0</t>
        </is>
      </c>
      <c r="D156" s="21">
        <f>'Sources &amp; Uses'!$G$34*((D$140=Assumptions!$H$9-4)*Assumptions!$H$79+(D$140=Assumptions!$H$9-3)*Assumptions!$H$80+(D$140=Assumptions!$H$9-2)*Assumptions!$H$81+(D$140=Assumptions!$H$9-1)*Assumptions!$H$82+(D$140=Assumptions!$H$9)*Assumptions!$H$83)*(1+Assumptions!$H$189)^(D$140-2026)</f>
        <v/>
      </c>
      <c r="E156" s="21">
        <f>'Sources &amp; Uses'!$G$34*((E$140=Assumptions!$H$9-4)*Assumptions!$H$79+(E$140=Assumptions!$H$9-3)*Assumptions!$H$80+(E$140=Assumptions!$H$9-2)*Assumptions!$H$81+(E$140=Assumptions!$H$9-1)*Assumptions!$H$82+(E$140=Assumptions!$H$9)*Assumptions!$H$83)*(1+Assumptions!$H$189)^(E$140-2026)</f>
        <v/>
      </c>
      <c r="F156" s="21">
        <f>'Sources &amp; Uses'!$G$34*((F$140=Assumptions!$H$9-4)*Assumptions!$H$79+(F$140=Assumptions!$H$9-3)*Assumptions!$H$80+(F$140=Assumptions!$H$9-2)*Assumptions!$H$81+(F$140=Assumptions!$H$9-1)*Assumptions!$H$82+(F$140=Assumptions!$H$9)*Assumptions!$H$83)*(1+Assumptions!$H$189)^(F$140-2026)</f>
        <v/>
      </c>
      <c r="G156" s="21">
        <f>'Sources &amp; Uses'!$G$34*((G$140=Assumptions!$H$9-4)*Assumptions!$H$79+(G$140=Assumptions!$H$9-3)*Assumptions!$H$80+(G$140=Assumptions!$H$9-2)*Assumptions!$H$81+(G$140=Assumptions!$H$9-1)*Assumptions!$H$82+(G$140=Assumptions!$H$9)*Assumptions!$H$83)*(1+Assumptions!$H$189)^(G$140-2026)</f>
        <v/>
      </c>
      <c r="H156" s="21">
        <f>'Sources &amp; Uses'!$G$34*((H$140=Assumptions!$H$9-4)*Assumptions!$H$79+(H$140=Assumptions!$H$9-3)*Assumptions!$H$80+(H$140=Assumptions!$H$9-2)*Assumptions!$H$81+(H$140=Assumptions!$H$9-1)*Assumptions!$H$82+(H$140=Assumptions!$H$9)*Assumptions!$H$83)*(1+Assumptions!$H$189)^(H$140-2026)</f>
        <v/>
      </c>
      <c r="I156" s="21">
        <f>'Sources &amp; Uses'!$G$34*((I$140=Assumptions!$H$9-4)*Assumptions!$H$79+(I$140=Assumptions!$H$9-3)*Assumptions!$H$80+(I$140=Assumptions!$H$9-2)*Assumptions!$H$81+(I$140=Assumptions!$H$9-1)*Assumptions!$H$82+(I$140=Assumptions!$H$9)*Assumptions!$H$83)*(1+Assumptions!$H$189)^(I$140-2026)</f>
        <v/>
      </c>
      <c r="J156" s="21">
        <f>'Sources &amp; Uses'!$G$34*((J$140=Assumptions!$H$9-4)*Assumptions!$H$79+(J$140=Assumptions!$H$9-3)*Assumptions!$H$80+(J$140=Assumptions!$H$9-2)*Assumptions!$H$81+(J$140=Assumptions!$H$9-1)*Assumptions!$H$82+(J$140=Assumptions!$H$9)*Assumptions!$H$83)*(1+Assumptions!$H$189)^(J$140-2026)</f>
        <v/>
      </c>
      <c r="K156" s="21">
        <f>'Sources &amp; Uses'!$G$34*((K$140=Assumptions!$H$9-4)*Assumptions!$H$79+(K$140=Assumptions!$H$9-3)*Assumptions!$H$80+(K$140=Assumptions!$H$9-2)*Assumptions!$H$81+(K$140=Assumptions!$H$9-1)*Assumptions!$H$82+(K$140=Assumptions!$H$9)*Assumptions!$H$83)*(1+Assumptions!$H$189)^(K$140-2026)</f>
        <v/>
      </c>
      <c r="L156" s="21">
        <f>'Sources &amp; Uses'!$G$34*((L$140=Assumptions!$H$9-4)*Assumptions!$H$79+(L$140=Assumptions!$H$9-3)*Assumptions!$H$80+(L$140=Assumptions!$H$9-2)*Assumptions!$H$81+(L$140=Assumptions!$H$9-1)*Assumptions!$H$82+(L$140=Assumptions!$H$9)*Assumptions!$H$83)*(1+Assumptions!$H$189)^(L$140-2026)</f>
        <v/>
      </c>
      <c r="M156" s="21">
        <f>'Sources &amp; Uses'!$G$34*((M$140=Assumptions!$H$9-4)*Assumptions!$H$79+(M$140=Assumptions!$H$9-3)*Assumptions!$H$80+(M$140=Assumptions!$H$9-2)*Assumptions!$H$81+(M$140=Assumptions!$H$9-1)*Assumptions!$H$82+(M$140=Assumptions!$H$9)*Assumptions!$H$83)*(1+Assumptions!$H$189)^(M$140-2026)</f>
        <v/>
      </c>
      <c r="N156" s="47">
        <f>SUM(D156:M156)</f>
        <v/>
      </c>
      <c r="O156" s="47">
        <f>'Sources &amp; Uses'!$G$34</f>
        <v/>
      </c>
      <c r="P156" s="47">
        <f>N156-O156</f>
        <v/>
      </c>
    </row>
    <row r="157">
      <c r="A157" s="9" t="inlineStr">
        <is>
          <t>Contingency, Phase 1</t>
        </is>
      </c>
      <c r="B157" s="24" t="inlineStr">
        <is>
          <t>Phase 1</t>
        </is>
      </c>
      <c r="C157" s="24" t="inlineStr">
        <is>
          <t>Opening -1, 0</t>
        </is>
      </c>
      <c r="D157" s="21">
        <f>'Sources &amp; Uses'!$G$35*((D$140=Assumptions!$H$9-2)*Assumptions!$H$87+(D$140=Assumptions!$H$9-1)*Assumptions!$H$88+(D$140=Assumptions!$H$9)*Assumptions!$H$89)*(1+Assumptions!$H$189)^(D$140-2026)</f>
        <v/>
      </c>
      <c r="E157" s="21">
        <f>'Sources &amp; Uses'!$G$35*((E$140=Assumptions!$H$9-2)*Assumptions!$H$87+(E$140=Assumptions!$H$9-1)*Assumptions!$H$88+(E$140=Assumptions!$H$9)*Assumptions!$H$89)*(1+Assumptions!$H$189)^(E$140-2026)</f>
        <v/>
      </c>
      <c r="F157" s="21">
        <f>'Sources &amp; Uses'!$G$35*((F$140=Assumptions!$H$9-2)*Assumptions!$H$87+(F$140=Assumptions!$H$9-1)*Assumptions!$H$88+(F$140=Assumptions!$H$9)*Assumptions!$H$89)*(1+Assumptions!$H$189)^(F$140-2026)</f>
        <v/>
      </c>
      <c r="G157" s="21">
        <f>'Sources &amp; Uses'!$G$35*((G$140=Assumptions!$H$9-2)*Assumptions!$H$87+(G$140=Assumptions!$H$9-1)*Assumptions!$H$88+(G$140=Assumptions!$H$9)*Assumptions!$H$89)*(1+Assumptions!$H$189)^(G$140-2026)</f>
        <v/>
      </c>
      <c r="H157" s="21">
        <f>'Sources &amp; Uses'!$G$35*((H$140=Assumptions!$H$9-2)*Assumptions!$H$87+(H$140=Assumptions!$H$9-1)*Assumptions!$H$88+(H$140=Assumptions!$H$9)*Assumptions!$H$89)*(1+Assumptions!$H$189)^(H$140-2026)</f>
        <v/>
      </c>
      <c r="I157" s="21">
        <f>'Sources &amp; Uses'!$G$35*((I$140=Assumptions!$H$9-2)*Assumptions!$H$87+(I$140=Assumptions!$H$9-1)*Assumptions!$H$88+(I$140=Assumptions!$H$9)*Assumptions!$H$89)*(1+Assumptions!$H$189)^(I$140-2026)</f>
        <v/>
      </c>
      <c r="J157" s="21">
        <f>'Sources &amp; Uses'!$G$35*((J$140=Assumptions!$H$9-2)*Assumptions!$H$87+(J$140=Assumptions!$H$9-1)*Assumptions!$H$88+(J$140=Assumptions!$H$9)*Assumptions!$H$89)*(1+Assumptions!$H$189)^(J$140-2026)</f>
        <v/>
      </c>
      <c r="K157" s="21">
        <f>'Sources &amp; Uses'!$G$35*((K$140=Assumptions!$H$9-2)*Assumptions!$H$87+(K$140=Assumptions!$H$9-1)*Assumptions!$H$88+(K$140=Assumptions!$H$9)*Assumptions!$H$89)*(1+Assumptions!$H$189)^(K$140-2026)</f>
        <v/>
      </c>
      <c r="L157" s="21">
        <f>'Sources &amp; Uses'!$G$35*((L$140=Assumptions!$H$9-2)*Assumptions!$H$87+(L$140=Assumptions!$H$9-1)*Assumptions!$H$88+(L$140=Assumptions!$H$9)*Assumptions!$H$89)*(1+Assumptions!$H$189)^(L$140-2026)</f>
        <v/>
      </c>
      <c r="M157" s="21">
        <f>'Sources &amp; Uses'!$G$35*((M$140=Assumptions!$H$9-2)*Assumptions!$H$87+(M$140=Assumptions!$H$9-1)*Assumptions!$H$88+(M$140=Assumptions!$H$9)*Assumptions!$H$89)*(1+Assumptions!$H$189)^(M$140-2026)</f>
        <v/>
      </c>
      <c r="N157" s="47">
        <f>SUM(D157:M157)</f>
        <v/>
      </c>
      <c r="O157" s="47">
        <f>'Sources &amp; Uses'!$G$35</f>
        <v/>
      </c>
      <c r="P157" s="47">
        <f>N157-O157</f>
        <v/>
      </c>
    </row>
    <row r="158">
      <c r="A158" s="9" t="inlineStr">
        <is>
          <t>Site infrastructure, Phase 2 share</t>
        </is>
      </c>
      <c r="B158" s="24" t="inlineStr">
        <is>
          <t>Phase 2</t>
        </is>
      </c>
      <c r="C158" s="24" t="inlineStr">
        <is>
          <t>Opening -1, 0</t>
        </is>
      </c>
      <c r="D158" s="21">
        <f>'Sources &amp; Uses'!$G$38*((D$140=Assumptions!$H$10-2)*Assumptions!$H$87+(D$140=Assumptions!$H$10-1)*Assumptions!$H$88+(D$140=Assumptions!$H$10)*Assumptions!$H$89)*(1+Assumptions!$H$189)^(D$140-2026)</f>
        <v/>
      </c>
      <c r="E158" s="21">
        <f>'Sources &amp; Uses'!$G$38*((E$140=Assumptions!$H$10-2)*Assumptions!$H$87+(E$140=Assumptions!$H$10-1)*Assumptions!$H$88+(E$140=Assumptions!$H$10)*Assumptions!$H$89)*(1+Assumptions!$H$189)^(E$140-2026)</f>
        <v/>
      </c>
      <c r="F158" s="21">
        <f>'Sources &amp; Uses'!$G$38*((F$140=Assumptions!$H$10-2)*Assumptions!$H$87+(F$140=Assumptions!$H$10-1)*Assumptions!$H$88+(F$140=Assumptions!$H$10)*Assumptions!$H$89)*(1+Assumptions!$H$189)^(F$140-2026)</f>
        <v/>
      </c>
      <c r="G158" s="21">
        <f>'Sources &amp; Uses'!$G$38*((G$140=Assumptions!$H$10-2)*Assumptions!$H$87+(G$140=Assumptions!$H$10-1)*Assumptions!$H$88+(G$140=Assumptions!$H$10)*Assumptions!$H$89)*(1+Assumptions!$H$189)^(G$140-2026)</f>
        <v/>
      </c>
      <c r="H158" s="21">
        <f>'Sources &amp; Uses'!$G$38*((H$140=Assumptions!$H$10-2)*Assumptions!$H$87+(H$140=Assumptions!$H$10-1)*Assumptions!$H$88+(H$140=Assumptions!$H$10)*Assumptions!$H$89)*(1+Assumptions!$H$189)^(H$140-2026)</f>
        <v/>
      </c>
      <c r="I158" s="21">
        <f>'Sources &amp; Uses'!$G$38*((I$140=Assumptions!$H$10-2)*Assumptions!$H$87+(I$140=Assumptions!$H$10-1)*Assumptions!$H$88+(I$140=Assumptions!$H$10)*Assumptions!$H$89)*(1+Assumptions!$H$189)^(I$140-2026)</f>
        <v/>
      </c>
      <c r="J158" s="21">
        <f>'Sources &amp; Uses'!$G$38*((J$140=Assumptions!$H$10-2)*Assumptions!$H$87+(J$140=Assumptions!$H$10-1)*Assumptions!$H$88+(J$140=Assumptions!$H$10)*Assumptions!$H$89)*(1+Assumptions!$H$189)^(J$140-2026)</f>
        <v/>
      </c>
      <c r="K158" s="21">
        <f>'Sources &amp; Uses'!$G$38*((K$140=Assumptions!$H$10-2)*Assumptions!$H$87+(K$140=Assumptions!$H$10-1)*Assumptions!$H$88+(K$140=Assumptions!$H$10)*Assumptions!$H$89)*(1+Assumptions!$H$189)^(K$140-2026)</f>
        <v/>
      </c>
      <c r="L158" s="21">
        <f>'Sources &amp; Uses'!$G$38*((L$140=Assumptions!$H$10-2)*Assumptions!$H$87+(L$140=Assumptions!$H$10-1)*Assumptions!$H$88+(L$140=Assumptions!$H$10)*Assumptions!$H$89)*(1+Assumptions!$H$189)^(L$140-2026)</f>
        <v/>
      </c>
      <c r="M158" s="21">
        <f>'Sources &amp; Uses'!$G$38*((M$140=Assumptions!$H$10-2)*Assumptions!$H$87+(M$140=Assumptions!$H$10-1)*Assumptions!$H$88+(M$140=Assumptions!$H$10)*Assumptions!$H$89)*(1+Assumptions!$H$189)^(M$140-2026)</f>
        <v/>
      </c>
      <c r="N158" s="47">
        <f>SUM(D158:M158)</f>
        <v/>
      </c>
      <c r="O158" s="47">
        <f>'Sources &amp; Uses'!$G$38</f>
        <v/>
      </c>
      <c r="P158" s="47">
        <f>N158-O158</f>
        <v/>
      </c>
    </row>
    <row r="159">
      <c r="A159" s="9" t="inlineStr">
        <is>
          <t>Recording studio, 2,500 sf, building and acoustic fit-out</t>
        </is>
      </c>
      <c r="B159" s="24" t="inlineStr">
        <is>
          <t>Phase 2</t>
        </is>
      </c>
      <c r="C159" s="24" t="inlineStr">
        <is>
          <t>Opening -1, 0</t>
        </is>
      </c>
      <c r="D159" s="21">
        <f>'Sources &amp; Uses'!$G$39*((D$140=Assumptions!$H$10-2)*Assumptions!$H$87+(D$140=Assumptions!$H$10-1)*Assumptions!$H$88+(D$140=Assumptions!$H$10)*Assumptions!$H$89)*(1+Assumptions!$H$189)^(D$140-2026)</f>
        <v/>
      </c>
      <c r="E159" s="21">
        <f>'Sources &amp; Uses'!$G$39*((E$140=Assumptions!$H$10-2)*Assumptions!$H$87+(E$140=Assumptions!$H$10-1)*Assumptions!$H$88+(E$140=Assumptions!$H$10)*Assumptions!$H$89)*(1+Assumptions!$H$189)^(E$140-2026)</f>
        <v/>
      </c>
      <c r="F159" s="21">
        <f>'Sources &amp; Uses'!$G$39*((F$140=Assumptions!$H$10-2)*Assumptions!$H$87+(F$140=Assumptions!$H$10-1)*Assumptions!$H$88+(F$140=Assumptions!$H$10)*Assumptions!$H$89)*(1+Assumptions!$H$189)^(F$140-2026)</f>
        <v/>
      </c>
      <c r="G159" s="21">
        <f>'Sources &amp; Uses'!$G$39*((G$140=Assumptions!$H$10-2)*Assumptions!$H$87+(G$140=Assumptions!$H$10-1)*Assumptions!$H$88+(G$140=Assumptions!$H$10)*Assumptions!$H$89)*(1+Assumptions!$H$189)^(G$140-2026)</f>
        <v/>
      </c>
      <c r="H159" s="21">
        <f>'Sources &amp; Uses'!$G$39*((H$140=Assumptions!$H$10-2)*Assumptions!$H$87+(H$140=Assumptions!$H$10-1)*Assumptions!$H$88+(H$140=Assumptions!$H$10)*Assumptions!$H$89)*(1+Assumptions!$H$189)^(H$140-2026)</f>
        <v/>
      </c>
      <c r="I159" s="21">
        <f>'Sources &amp; Uses'!$G$39*((I$140=Assumptions!$H$10-2)*Assumptions!$H$87+(I$140=Assumptions!$H$10-1)*Assumptions!$H$88+(I$140=Assumptions!$H$10)*Assumptions!$H$89)*(1+Assumptions!$H$189)^(I$140-2026)</f>
        <v/>
      </c>
      <c r="J159" s="21">
        <f>'Sources &amp; Uses'!$G$39*((J$140=Assumptions!$H$10-2)*Assumptions!$H$87+(J$140=Assumptions!$H$10-1)*Assumptions!$H$88+(J$140=Assumptions!$H$10)*Assumptions!$H$89)*(1+Assumptions!$H$189)^(J$140-2026)</f>
        <v/>
      </c>
      <c r="K159" s="21">
        <f>'Sources &amp; Uses'!$G$39*((K$140=Assumptions!$H$10-2)*Assumptions!$H$87+(K$140=Assumptions!$H$10-1)*Assumptions!$H$88+(K$140=Assumptions!$H$10)*Assumptions!$H$89)*(1+Assumptions!$H$189)^(K$140-2026)</f>
        <v/>
      </c>
      <c r="L159" s="21">
        <f>'Sources &amp; Uses'!$G$39*((L$140=Assumptions!$H$10-2)*Assumptions!$H$87+(L$140=Assumptions!$H$10-1)*Assumptions!$H$88+(L$140=Assumptions!$H$10)*Assumptions!$H$89)*(1+Assumptions!$H$189)^(L$140-2026)</f>
        <v/>
      </c>
      <c r="M159" s="21">
        <f>'Sources &amp; Uses'!$G$39*((M$140=Assumptions!$H$10-2)*Assumptions!$H$87+(M$140=Assumptions!$H$10-1)*Assumptions!$H$88+(M$140=Assumptions!$H$10)*Assumptions!$H$89)*(1+Assumptions!$H$189)^(M$140-2026)</f>
        <v/>
      </c>
      <c r="N159" s="47">
        <f>SUM(D159:M159)</f>
        <v/>
      </c>
      <c r="O159" s="47">
        <f>'Sources &amp; Uses'!$G$39</f>
        <v/>
      </c>
      <c r="P159" s="47">
        <f>N159-O159</f>
        <v/>
      </c>
    </row>
    <row r="160">
      <c r="A160" s="9" t="inlineStr">
        <is>
          <t>Studio gear and instruments (console, monitoring, microphones, outboard, piano, backline)</t>
        </is>
      </c>
      <c r="B160" s="24" t="inlineStr">
        <is>
          <t>Phase 2</t>
        </is>
      </c>
      <c r="C160" s="24" t="inlineStr">
        <is>
          <t>Opening -1, 0</t>
        </is>
      </c>
      <c r="D160" s="21">
        <f>'Sources &amp; Uses'!$G$40*((D$140=Assumptions!$H$10-1)*Assumptions!$H$95+(D$140=Assumptions!$H$10)*Assumptions!$H$96)*(1+Assumptions!$H$189)^(D$140-2026)</f>
        <v/>
      </c>
      <c r="E160" s="21">
        <f>'Sources &amp; Uses'!$G$40*((E$140=Assumptions!$H$10-1)*Assumptions!$H$95+(E$140=Assumptions!$H$10)*Assumptions!$H$96)*(1+Assumptions!$H$189)^(E$140-2026)</f>
        <v/>
      </c>
      <c r="F160" s="21">
        <f>'Sources &amp; Uses'!$G$40*((F$140=Assumptions!$H$10-1)*Assumptions!$H$95+(F$140=Assumptions!$H$10)*Assumptions!$H$96)*(1+Assumptions!$H$189)^(F$140-2026)</f>
        <v/>
      </c>
      <c r="G160" s="21">
        <f>'Sources &amp; Uses'!$G$40*((G$140=Assumptions!$H$10-1)*Assumptions!$H$95+(G$140=Assumptions!$H$10)*Assumptions!$H$96)*(1+Assumptions!$H$189)^(G$140-2026)</f>
        <v/>
      </c>
      <c r="H160" s="21">
        <f>'Sources &amp; Uses'!$G$40*((H$140=Assumptions!$H$10-1)*Assumptions!$H$95+(H$140=Assumptions!$H$10)*Assumptions!$H$96)*(1+Assumptions!$H$189)^(H$140-2026)</f>
        <v/>
      </c>
      <c r="I160" s="21">
        <f>'Sources &amp; Uses'!$G$40*((I$140=Assumptions!$H$10-1)*Assumptions!$H$95+(I$140=Assumptions!$H$10)*Assumptions!$H$96)*(1+Assumptions!$H$189)^(I$140-2026)</f>
        <v/>
      </c>
      <c r="J160" s="21">
        <f>'Sources &amp; Uses'!$G$40*((J$140=Assumptions!$H$10-1)*Assumptions!$H$95+(J$140=Assumptions!$H$10)*Assumptions!$H$96)*(1+Assumptions!$H$189)^(J$140-2026)</f>
        <v/>
      </c>
      <c r="K160" s="21">
        <f>'Sources &amp; Uses'!$G$40*((K$140=Assumptions!$H$10-1)*Assumptions!$H$95+(K$140=Assumptions!$H$10)*Assumptions!$H$96)*(1+Assumptions!$H$189)^(K$140-2026)</f>
        <v/>
      </c>
      <c r="L160" s="21">
        <f>'Sources &amp; Uses'!$G$40*((L$140=Assumptions!$H$10-1)*Assumptions!$H$95+(L$140=Assumptions!$H$10)*Assumptions!$H$96)*(1+Assumptions!$H$189)^(L$140-2026)</f>
        <v/>
      </c>
      <c r="M160" s="21">
        <f>'Sources &amp; Uses'!$G$40*((M$140=Assumptions!$H$10-1)*Assumptions!$H$95+(M$140=Assumptions!$H$10)*Assumptions!$H$96)*(1+Assumptions!$H$189)^(M$140-2026)</f>
        <v/>
      </c>
      <c r="N160" s="47">
        <f>SUM(D160:M160)</f>
        <v/>
      </c>
      <c r="O160" s="47">
        <f>'Sources &amp; Uses'!$G$40</f>
        <v/>
      </c>
      <c r="P160" s="47">
        <f>N160-O160</f>
        <v/>
      </c>
    </row>
    <row r="161">
      <c r="A161" s="9" t="inlineStr">
        <is>
          <t>Instruments (included in studio gear and instruments)</t>
        </is>
      </c>
      <c r="B161" s="24" t="inlineStr">
        <is>
          <t>Phase 2</t>
        </is>
      </c>
      <c r="C161" s="24" t="inlineStr">
        <is>
          <t>Opening -1, 0</t>
        </is>
      </c>
      <c r="D161" s="21">
        <f>'Sources &amp; Uses'!$G$41*((D$140=Assumptions!$H$10-1)*Assumptions!$H$95+(D$140=Assumptions!$H$10)*Assumptions!$H$96)*(1+Assumptions!$H$189)^(D$140-2026)</f>
        <v/>
      </c>
      <c r="E161" s="21">
        <f>'Sources &amp; Uses'!$G$41*((E$140=Assumptions!$H$10-1)*Assumptions!$H$95+(E$140=Assumptions!$H$10)*Assumptions!$H$96)*(1+Assumptions!$H$189)^(E$140-2026)</f>
        <v/>
      </c>
      <c r="F161" s="21">
        <f>'Sources &amp; Uses'!$G$41*((F$140=Assumptions!$H$10-1)*Assumptions!$H$95+(F$140=Assumptions!$H$10)*Assumptions!$H$96)*(1+Assumptions!$H$189)^(F$140-2026)</f>
        <v/>
      </c>
      <c r="G161" s="21">
        <f>'Sources &amp; Uses'!$G$41*((G$140=Assumptions!$H$10-1)*Assumptions!$H$95+(G$140=Assumptions!$H$10)*Assumptions!$H$96)*(1+Assumptions!$H$189)^(G$140-2026)</f>
        <v/>
      </c>
      <c r="H161" s="21">
        <f>'Sources &amp; Uses'!$G$41*((H$140=Assumptions!$H$10-1)*Assumptions!$H$95+(H$140=Assumptions!$H$10)*Assumptions!$H$96)*(1+Assumptions!$H$189)^(H$140-2026)</f>
        <v/>
      </c>
      <c r="I161" s="21">
        <f>'Sources &amp; Uses'!$G$41*((I$140=Assumptions!$H$10-1)*Assumptions!$H$95+(I$140=Assumptions!$H$10)*Assumptions!$H$96)*(1+Assumptions!$H$189)^(I$140-2026)</f>
        <v/>
      </c>
      <c r="J161" s="21">
        <f>'Sources &amp; Uses'!$G$41*((J$140=Assumptions!$H$10-1)*Assumptions!$H$95+(J$140=Assumptions!$H$10)*Assumptions!$H$96)*(1+Assumptions!$H$189)^(J$140-2026)</f>
        <v/>
      </c>
      <c r="K161" s="21">
        <f>'Sources &amp; Uses'!$G$41*((K$140=Assumptions!$H$10-1)*Assumptions!$H$95+(K$140=Assumptions!$H$10)*Assumptions!$H$96)*(1+Assumptions!$H$189)^(K$140-2026)</f>
        <v/>
      </c>
      <c r="L161" s="21">
        <f>'Sources &amp; Uses'!$G$41*((L$140=Assumptions!$H$10-1)*Assumptions!$H$95+(L$140=Assumptions!$H$10)*Assumptions!$H$96)*(1+Assumptions!$H$189)^(L$140-2026)</f>
        <v/>
      </c>
      <c r="M161" s="21">
        <f>'Sources &amp; Uses'!$G$41*((M$140=Assumptions!$H$10-1)*Assumptions!$H$95+(M$140=Assumptions!$H$10)*Assumptions!$H$96)*(1+Assumptions!$H$189)^(M$140-2026)</f>
        <v/>
      </c>
      <c r="N161" s="47">
        <f>SUM(D161:M161)</f>
        <v/>
      </c>
      <c r="O161" s="47">
        <f>'Sources &amp; Uses'!$G$41</f>
        <v/>
      </c>
      <c r="P161" s="47">
        <f>N161-O161</f>
        <v/>
      </c>
    </row>
    <row r="162">
      <c r="A162" s="9" t="inlineStr">
        <is>
          <t>Arcana cabins, Phase 2 (none: all 12 are in Phase 1)</t>
        </is>
      </c>
      <c r="B162" s="24" t="inlineStr">
        <is>
          <t>Phase 2</t>
        </is>
      </c>
      <c r="C162" s="24" t="inlineStr">
        <is>
          <t>50% order, 50% delivery</t>
        </is>
      </c>
      <c r="D162" s="21">
        <f>'Sources &amp; Uses'!$G$42*((D$140=Assumptions!$H$10-1)*Assumptions!$H$93+(D$140=Assumptions!$H$10)*Assumptions!$H$94)*(1+Assumptions!$H$189)^(D$140-2026)</f>
        <v/>
      </c>
      <c r="E162" s="21">
        <f>'Sources &amp; Uses'!$G$42*((E$140=Assumptions!$H$10-1)*Assumptions!$H$93+(E$140=Assumptions!$H$10)*Assumptions!$H$94)*(1+Assumptions!$H$189)^(E$140-2026)</f>
        <v/>
      </c>
      <c r="F162" s="21">
        <f>'Sources &amp; Uses'!$G$42*((F$140=Assumptions!$H$10-1)*Assumptions!$H$93+(F$140=Assumptions!$H$10)*Assumptions!$H$94)*(1+Assumptions!$H$189)^(F$140-2026)</f>
        <v/>
      </c>
      <c r="G162" s="21">
        <f>'Sources &amp; Uses'!$G$42*((G$140=Assumptions!$H$10-1)*Assumptions!$H$93+(G$140=Assumptions!$H$10)*Assumptions!$H$94)*(1+Assumptions!$H$189)^(G$140-2026)</f>
        <v/>
      </c>
      <c r="H162" s="21">
        <f>'Sources &amp; Uses'!$G$42*((H$140=Assumptions!$H$10-1)*Assumptions!$H$93+(H$140=Assumptions!$H$10)*Assumptions!$H$94)*(1+Assumptions!$H$189)^(H$140-2026)</f>
        <v/>
      </c>
      <c r="I162" s="21">
        <f>'Sources &amp; Uses'!$G$42*((I$140=Assumptions!$H$10-1)*Assumptions!$H$93+(I$140=Assumptions!$H$10)*Assumptions!$H$94)*(1+Assumptions!$H$189)^(I$140-2026)</f>
        <v/>
      </c>
      <c r="J162" s="21">
        <f>'Sources &amp; Uses'!$G$42*((J$140=Assumptions!$H$10-1)*Assumptions!$H$93+(J$140=Assumptions!$H$10)*Assumptions!$H$94)*(1+Assumptions!$H$189)^(J$140-2026)</f>
        <v/>
      </c>
      <c r="K162" s="21">
        <f>'Sources &amp; Uses'!$G$42*((K$140=Assumptions!$H$10-1)*Assumptions!$H$93+(K$140=Assumptions!$H$10)*Assumptions!$H$94)*(1+Assumptions!$H$189)^(K$140-2026)</f>
        <v/>
      </c>
      <c r="L162" s="21">
        <f>'Sources &amp; Uses'!$G$42*((L$140=Assumptions!$H$10-1)*Assumptions!$H$93+(L$140=Assumptions!$H$10)*Assumptions!$H$94)*(1+Assumptions!$H$189)^(L$140-2026)</f>
        <v/>
      </c>
      <c r="M162" s="21">
        <f>'Sources &amp; Uses'!$G$42*((M$140=Assumptions!$H$10-1)*Assumptions!$H$93+(M$140=Assumptions!$H$10)*Assumptions!$H$94)*(1+Assumptions!$H$189)^(M$140-2026)</f>
        <v/>
      </c>
      <c r="N162" s="47">
        <f>SUM(D162:M162)</f>
        <v/>
      </c>
      <c r="O162" s="47">
        <f>'Sources &amp; Uses'!$G$42</f>
        <v/>
      </c>
      <c r="P162" s="47">
        <f>N162-O162</f>
        <v/>
      </c>
    </row>
    <row r="163">
      <c r="A163" s="9" t="inlineStr">
        <is>
          <t>Residence and home, 3,000 sf</t>
        </is>
      </c>
      <c r="B163" s="24" t="inlineStr">
        <is>
          <t>Phase 2</t>
        </is>
      </c>
      <c r="C163" s="24" t="inlineStr">
        <is>
          <t>Opening -1, 0</t>
        </is>
      </c>
      <c r="D163" s="21">
        <f>'Sources &amp; Uses'!$G$43*((D$140=Assumptions!$H$10-2)*Assumptions!$H$87+(D$140=Assumptions!$H$10-1)*Assumptions!$H$88+(D$140=Assumptions!$H$10)*Assumptions!$H$89)*(1+Assumptions!$H$189)^(D$140-2026)</f>
        <v/>
      </c>
      <c r="E163" s="21">
        <f>'Sources &amp; Uses'!$G$43*((E$140=Assumptions!$H$10-2)*Assumptions!$H$87+(E$140=Assumptions!$H$10-1)*Assumptions!$H$88+(E$140=Assumptions!$H$10)*Assumptions!$H$89)*(1+Assumptions!$H$189)^(E$140-2026)</f>
        <v/>
      </c>
      <c r="F163" s="21">
        <f>'Sources &amp; Uses'!$G$43*((F$140=Assumptions!$H$10-2)*Assumptions!$H$87+(F$140=Assumptions!$H$10-1)*Assumptions!$H$88+(F$140=Assumptions!$H$10)*Assumptions!$H$89)*(1+Assumptions!$H$189)^(F$140-2026)</f>
        <v/>
      </c>
      <c r="G163" s="21">
        <f>'Sources &amp; Uses'!$G$43*((G$140=Assumptions!$H$10-2)*Assumptions!$H$87+(G$140=Assumptions!$H$10-1)*Assumptions!$H$88+(G$140=Assumptions!$H$10)*Assumptions!$H$89)*(1+Assumptions!$H$189)^(G$140-2026)</f>
        <v/>
      </c>
      <c r="H163" s="21">
        <f>'Sources &amp; Uses'!$G$43*((H$140=Assumptions!$H$10-2)*Assumptions!$H$87+(H$140=Assumptions!$H$10-1)*Assumptions!$H$88+(H$140=Assumptions!$H$10)*Assumptions!$H$89)*(1+Assumptions!$H$189)^(H$140-2026)</f>
        <v/>
      </c>
      <c r="I163" s="21">
        <f>'Sources &amp; Uses'!$G$43*((I$140=Assumptions!$H$10-2)*Assumptions!$H$87+(I$140=Assumptions!$H$10-1)*Assumptions!$H$88+(I$140=Assumptions!$H$10)*Assumptions!$H$89)*(1+Assumptions!$H$189)^(I$140-2026)</f>
        <v/>
      </c>
      <c r="J163" s="21">
        <f>'Sources &amp; Uses'!$G$43*((J$140=Assumptions!$H$10-2)*Assumptions!$H$87+(J$140=Assumptions!$H$10-1)*Assumptions!$H$88+(J$140=Assumptions!$H$10)*Assumptions!$H$89)*(1+Assumptions!$H$189)^(J$140-2026)</f>
        <v/>
      </c>
      <c r="K163" s="21">
        <f>'Sources &amp; Uses'!$G$43*((K$140=Assumptions!$H$10-2)*Assumptions!$H$87+(K$140=Assumptions!$H$10-1)*Assumptions!$H$88+(K$140=Assumptions!$H$10)*Assumptions!$H$89)*(1+Assumptions!$H$189)^(K$140-2026)</f>
        <v/>
      </c>
      <c r="L163" s="21">
        <f>'Sources &amp; Uses'!$G$43*((L$140=Assumptions!$H$10-2)*Assumptions!$H$87+(L$140=Assumptions!$H$10-1)*Assumptions!$H$88+(L$140=Assumptions!$H$10)*Assumptions!$H$89)*(1+Assumptions!$H$189)^(L$140-2026)</f>
        <v/>
      </c>
      <c r="M163" s="21">
        <f>'Sources &amp; Uses'!$G$43*((M$140=Assumptions!$H$10-2)*Assumptions!$H$87+(M$140=Assumptions!$H$10-1)*Assumptions!$H$88+(M$140=Assumptions!$H$10)*Assumptions!$H$89)*(1+Assumptions!$H$189)^(M$140-2026)</f>
        <v/>
      </c>
      <c r="N163" s="47">
        <f>SUM(D163:M163)</f>
        <v/>
      </c>
      <c r="O163" s="47">
        <f>'Sources &amp; Uses'!$G$43</f>
        <v/>
      </c>
      <c r="P163" s="47">
        <f>N163-O163</f>
        <v/>
      </c>
    </row>
    <row r="164">
      <c r="A164" s="9" t="inlineStr">
        <is>
          <t>Maintenance building and staff unit, Phase 2 share (none)</t>
        </is>
      </c>
      <c r="B164" s="24" t="inlineStr">
        <is>
          <t>Phase 2</t>
        </is>
      </c>
      <c r="C164" s="24" t="inlineStr">
        <is>
          <t>Opening -1, 0</t>
        </is>
      </c>
      <c r="D164" s="21">
        <f>'Sources &amp; Uses'!$G$44*((D$140=Assumptions!$H$10-2)*Assumptions!$H$87+(D$140=Assumptions!$H$10-1)*Assumptions!$H$88+(D$140=Assumptions!$H$10)*Assumptions!$H$89)*(1+Assumptions!$H$189)^(D$140-2026)</f>
        <v/>
      </c>
      <c r="E164" s="21">
        <f>'Sources &amp; Uses'!$G$44*((E$140=Assumptions!$H$10-2)*Assumptions!$H$87+(E$140=Assumptions!$H$10-1)*Assumptions!$H$88+(E$140=Assumptions!$H$10)*Assumptions!$H$89)*(1+Assumptions!$H$189)^(E$140-2026)</f>
        <v/>
      </c>
      <c r="F164" s="21">
        <f>'Sources &amp; Uses'!$G$44*((F$140=Assumptions!$H$10-2)*Assumptions!$H$87+(F$140=Assumptions!$H$10-1)*Assumptions!$H$88+(F$140=Assumptions!$H$10)*Assumptions!$H$89)*(1+Assumptions!$H$189)^(F$140-2026)</f>
        <v/>
      </c>
      <c r="G164" s="21">
        <f>'Sources &amp; Uses'!$G$44*((G$140=Assumptions!$H$10-2)*Assumptions!$H$87+(G$140=Assumptions!$H$10-1)*Assumptions!$H$88+(G$140=Assumptions!$H$10)*Assumptions!$H$89)*(1+Assumptions!$H$189)^(G$140-2026)</f>
        <v/>
      </c>
      <c r="H164" s="21">
        <f>'Sources &amp; Uses'!$G$44*((H$140=Assumptions!$H$10-2)*Assumptions!$H$87+(H$140=Assumptions!$H$10-1)*Assumptions!$H$88+(H$140=Assumptions!$H$10)*Assumptions!$H$89)*(1+Assumptions!$H$189)^(H$140-2026)</f>
        <v/>
      </c>
      <c r="I164" s="21">
        <f>'Sources &amp; Uses'!$G$44*((I$140=Assumptions!$H$10-2)*Assumptions!$H$87+(I$140=Assumptions!$H$10-1)*Assumptions!$H$88+(I$140=Assumptions!$H$10)*Assumptions!$H$89)*(1+Assumptions!$H$189)^(I$140-2026)</f>
        <v/>
      </c>
      <c r="J164" s="21">
        <f>'Sources &amp; Uses'!$G$44*((J$140=Assumptions!$H$10-2)*Assumptions!$H$87+(J$140=Assumptions!$H$10-1)*Assumptions!$H$88+(J$140=Assumptions!$H$10)*Assumptions!$H$89)*(1+Assumptions!$H$189)^(J$140-2026)</f>
        <v/>
      </c>
      <c r="K164" s="21">
        <f>'Sources &amp; Uses'!$G$44*((K$140=Assumptions!$H$10-2)*Assumptions!$H$87+(K$140=Assumptions!$H$10-1)*Assumptions!$H$88+(K$140=Assumptions!$H$10)*Assumptions!$H$89)*(1+Assumptions!$H$189)^(K$140-2026)</f>
        <v/>
      </c>
      <c r="L164" s="21">
        <f>'Sources &amp; Uses'!$G$44*((L$140=Assumptions!$H$10-2)*Assumptions!$H$87+(L$140=Assumptions!$H$10-1)*Assumptions!$H$88+(L$140=Assumptions!$H$10)*Assumptions!$H$89)*(1+Assumptions!$H$189)^(L$140-2026)</f>
        <v/>
      </c>
      <c r="M164" s="21">
        <f>'Sources &amp; Uses'!$G$44*((M$140=Assumptions!$H$10-2)*Assumptions!$H$87+(M$140=Assumptions!$H$10-1)*Assumptions!$H$88+(M$140=Assumptions!$H$10)*Assumptions!$H$89)*(1+Assumptions!$H$189)^(M$140-2026)</f>
        <v/>
      </c>
      <c r="N164" s="47">
        <f>SUM(D164:M164)</f>
        <v/>
      </c>
      <c r="O164" s="47">
        <f>'Sources &amp; Uses'!$G$44</f>
        <v/>
      </c>
      <c r="P164" s="47">
        <f>N164-O164</f>
        <v/>
      </c>
    </row>
    <row r="165">
      <c r="A165" s="9" t="inlineStr">
        <is>
          <t>Landscaping and artwork, Phase 2 share</t>
        </is>
      </c>
      <c r="B165" s="24" t="inlineStr">
        <is>
          <t>Phase 2</t>
        </is>
      </c>
      <c r="C165" s="24" t="inlineStr">
        <is>
          <t>Opening -1, 0</t>
        </is>
      </c>
      <c r="D165" s="21">
        <f>'Sources &amp; Uses'!$G$45*((D$140=Assumptions!$H$10-2)*Assumptions!$H$87+(D$140=Assumptions!$H$10-1)*Assumptions!$H$88+(D$140=Assumptions!$H$10)*Assumptions!$H$89)*(1+Assumptions!$H$189)^(D$140-2026)</f>
        <v/>
      </c>
      <c r="E165" s="21">
        <f>'Sources &amp; Uses'!$G$45*((E$140=Assumptions!$H$10-2)*Assumptions!$H$87+(E$140=Assumptions!$H$10-1)*Assumptions!$H$88+(E$140=Assumptions!$H$10)*Assumptions!$H$89)*(1+Assumptions!$H$189)^(E$140-2026)</f>
        <v/>
      </c>
      <c r="F165" s="21">
        <f>'Sources &amp; Uses'!$G$45*((F$140=Assumptions!$H$10-2)*Assumptions!$H$87+(F$140=Assumptions!$H$10-1)*Assumptions!$H$88+(F$140=Assumptions!$H$10)*Assumptions!$H$89)*(1+Assumptions!$H$189)^(F$140-2026)</f>
        <v/>
      </c>
      <c r="G165" s="21">
        <f>'Sources &amp; Uses'!$G$45*((G$140=Assumptions!$H$10-2)*Assumptions!$H$87+(G$140=Assumptions!$H$10-1)*Assumptions!$H$88+(G$140=Assumptions!$H$10)*Assumptions!$H$89)*(1+Assumptions!$H$189)^(G$140-2026)</f>
        <v/>
      </c>
      <c r="H165" s="21">
        <f>'Sources &amp; Uses'!$G$45*((H$140=Assumptions!$H$10-2)*Assumptions!$H$87+(H$140=Assumptions!$H$10-1)*Assumptions!$H$88+(H$140=Assumptions!$H$10)*Assumptions!$H$89)*(1+Assumptions!$H$189)^(H$140-2026)</f>
        <v/>
      </c>
      <c r="I165" s="21">
        <f>'Sources &amp; Uses'!$G$45*((I$140=Assumptions!$H$10-2)*Assumptions!$H$87+(I$140=Assumptions!$H$10-1)*Assumptions!$H$88+(I$140=Assumptions!$H$10)*Assumptions!$H$89)*(1+Assumptions!$H$189)^(I$140-2026)</f>
        <v/>
      </c>
      <c r="J165" s="21">
        <f>'Sources &amp; Uses'!$G$45*((J$140=Assumptions!$H$10-2)*Assumptions!$H$87+(J$140=Assumptions!$H$10-1)*Assumptions!$H$88+(J$140=Assumptions!$H$10)*Assumptions!$H$89)*(1+Assumptions!$H$189)^(J$140-2026)</f>
        <v/>
      </c>
      <c r="K165" s="21">
        <f>'Sources &amp; Uses'!$G$45*((K$140=Assumptions!$H$10-2)*Assumptions!$H$87+(K$140=Assumptions!$H$10-1)*Assumptions!$H$88+(K$140=Assumptions!$H$10)*Assumptions!$H$89)*(1+Assumptions!$H$189)^(K$140-2026)</f>
        <v/>
      </c>
      <c r="L165" s="21">
        <f>'Sources &amp; Uses'!$G$45*((L$140=Assumptions!$H$10-2)*Assumptions!$H$87+(L$140=Assumptions!$H$10-1)*Assumptions!$H$88+(L$140=Assumptions!$H$10)*Assumptions!$H$89)*(1+Assumptions!$H$189)^(L$140-2026)</f>
        <v/>
      </c>
      <c r="M165" s="21">
        <f>'Sources &amp; Uses'!$G$45*((M$140=Assumptions!$H$10-2)*Assumptions!$H$87+(M$140=Assumptions!$H$10-1)*Assumptions!$H$88+(M$140=Assumptions!$H$10)*Assumptions!$H$89)*(1+Assumptions!$H$189)^(M$140-2026)</f>
        <v/>
      </c>
      <c r="N165" s="47">
        <f>SUM(D165:M165)</f>
        <v/>
      </c>
      <c r="O165" s="47">
        <f>'Sources &amp; Uses'!$G$45</f>
        <v/>
      </c>
      <c r="P165" s="47">
        <f>N165-O165</f>
        <v/>
      </c>
    </row>
    <row r="166">
      <c r="A166" s="9" t="inlineStr">
        <is>
          <t>FF&amp;E, Phase 2 share</t>
        </is>
      </c>
      <c r="B166" s="24" t="inlineStr">
        <is>
          <t>Phase 2</t>
        </is>
      </c>
      <c r="C166" s="24" t="inlineStr">
        <is>
          <t>Opening year</t>
        </is>
      </c>
      <c r="D166" s="21">
        <f>'Sources &amp; Uses'!$G$46*(D$140=Assumptions!$H$10)*(1+Assumptions!$H$189)^(D$140-2026)</f>
        <v/>
      </c>
      <c r="E166" s="21">
        <f>'Sources &amp; Uses'!$G$46*(E$140=Assumptions!$H$10)*(1+Assumptions!$H$189)^(E$140-2026)</f>
        <v/>
      </c>
      <c r="F166" s="21">
        <f>'Sources &amp; Uses'!$G$46*(F$140=Assumptions!$H$10)*(1+Assumptions!$H$189)^(F$140-2026)</f>
        <v/>
      </c>
      <c r="G166" s="21">
        <f>'Sources &amp; Uses'!$G$46*(G$140=Assumptions!$H$10)*(1+Assumptions!$H$189)^(G$140-2026)</f>
        <v/>
      </c>
      <c r="H166" s="21">
        <f>'Sources &amp; Uses'!$G$46*(H$140=Assumptions!$H$10)*(1+Assumptions!$H$189)^(H$140-2026)</f>
        <v/>
      </c>
      <c r="I166" s="21">
        <f>'Sources &amp; Uses'!$G$46*(I$140=Assumptions!$H$10)*(1+Assumptions!$H$189)^(I$140-2026)</f>
        <v/>
      </c>
      <c r="J166" s="21">
        <f>'Sources &amp; Uses'!$G$46*(J$140=Assumptions!$H$10)*(1+Assumptions!$H$189)^(J$140-2026)</f>
        <v/>
      </c>
      <c r="K166" s="21">
        <f>'Sources &amp; Uses'!$G$46*(K$140=Assumptions!$H$10)*(1+Assumptions!$H$189)^(K$140-2026)</f>
        <v/>
      </c>
      <c r="L166" s="21">
        <f>'Sources &amp; Uses'!$G$46*(L$140=Assumptions!$H$10)*(1+Assumptions!$H$189)^(L$140-2026)</f>
        <v/>
      </c>
      <c r="M166" s="21">
        <f>'Sources &amp; Uses'!$G$46*(M$140=Assumptions!$H$10)*(1+Assumptions!$H$189)^(M$140-2026)</f>
        <v/>
      </c>
      <c r="N166" s="47">
        <f>SUM(D166:M166)</f>
        <v/>
      </c>
      <c r="O166" s="47">
        <f>'Sources &amp; Uses'!$G$46</f>
        <v/>
      </c>
      <c r="P166" s="47">
        <f>N166-O166</f>
        <v/>
      </c>
    </row>
    <row r="167">
      <c r="A167" s="9" t="inlineStr">
        <is>
          <t>Soft costs, Phase 2</t>
        </is>
      </c>
      <c r="B167" s="24" t="inlineStr">
        <is>
          <t>Phase 2</t>
        </is>
      </c>
      <c r="C167" s="24" t="inlineStr">
        <is>
          <t>Opening -3 to 0</t>
        </is>
      </c>
      <c r="D167" s="21">
        <f>'Sources &amp; Uses'!$G$47*((D$140=Assumptions!$H$10-4)*Assumptions!$H$79+(D$140=Assumptions!$H$10-3)*Assumptions!$H$80+(D$140=Assumptions!$H$10-2)*Assumptions!$H$81+(D$140=Assumptions!$H$10-1)*Assumptions!$H$82+(D$140=Assumptions!$H$10)*Assumptions!$H$83)*(1+Assumptions!$H$189)^(D$140-2026)</f>
        <v/>
      </c>
      <c r="E167" s="21">
        <f>'Sources &amp; Uses'!$G$47*((E$140=Assumptions!$H$10-4)*Assumptions!$H$79+(E$140=Assumptions!$H$10-3)*Assumptions!$H$80+(E$140=Assumptions!$H$10-2)*Assumptions!$H$81+(E$140=Assumptions!$H$10-1)*Assumptions!$H$82+(E$140=Assumptions!$H$10)*Assumptions!$H$83)*(1+Assumptions!$H$189)^(E$140-2026)</f>
        <v/>
      </c>
      <c r="F167" s="21">
        <f>'Sources &amp; Uses'!$G$47*((F$140=Assumptions!$H$10-4)*Assumptions!$H$79+(F$140=Assumptions!$H$10-3)*Assumptions!$H$80+(F$140=Assumptions!$H$10-2)*Assumptions!$H$81+(F$140=Assumptions!$H$10-1)*Assumptions!$H$82+(F$140=Assumptions!$H$10)*Assumptions!$H$83)*(1+Assumptions!$H$189)^(F$140-2026)</f>
        <v/>
      </c>
      <c r="G167" s="21">
        <f>'Sources &amp; Uses'!$G$47*((G$140=Assumptions!$H$10-4)*Assumptions!$H$79+(G$140=Assumptions!$H$10-3)*Assumptions!$H$80+(G$140=Assumptions!$H$10-2)*Assumptions!$H$81+(G$140=Assumptions!$H$10-1)*Assumptions!$H$82+(G$140=Assumptions!$H$10)*Assumptions!$H$83)*(1+Assumptions!$H$189)^(G$140-2026)</f>
        <v/>
      </c>
      <c r="H167" s="21">
        <f>'Sources &amp; Uses'!$G$47*((H$140=Assumptions!$H$10-4)*Assumptions!$H$79+(H$140=Assumptions!$H$10-3)*Assumptions!$H$80+(H$140=Assumptions!$H$10-2)*Assumptions!$H$81+(H$140=Assumptions!$H$10-1)*Assumptions!$H$82+(H$140=Assumptions!$H$10)*Assumptions!$H$83)*(1+Assumptions!$H$189)^(H$140-2026)</f>
        <v/>
      </c>
      <c r="I167" s="21">
        <f>'Sources &amp; Uses'!$G$47*((I$140=Assumptions!$H$10-4)*Assumptions!$H$79+(I$140=Assumptions!$H$10-3)*Assumptions!$H$80+(I$140=Assumptions!$H$10-2)*Assumptions!$H$81+(I$140=Assumptions!$H$10-1)*Assumptions!$H$82+(I$140=Assumptions!$H$10)*Assumptions!$H$83)*(1+Assumptions!$H$189)^(I$140-2026)</f>
        <v/>
      </c>
      <c r="J167" s="21">
        <f>'Sources &amp; Uses'!$G$47*((J$140=Assumptions!$H$10-4)*Assumptions!$H$79+(J$140=Assumptions!$H$10-3)*Assumptions!$H$80+(J$140=Assumptions!$H$10-2)*Assumptions!$H$81+(J$140=Assumptions!$H$10-1)*Assumptions!$H$82+(J$140=Assumptions!$H$10)*Assumptions!$H$83)*(1+Assumptions!$H$189)^(J$140-2026)</f>
        <v/>
      </c>
      <c r="K167" s="21">
        <f>'Sources &amp; Uses'!$G$47*((K$140=Assumptions!$H$10-4)*Assumptions!$H$79+(K$140=Assumptions!$H$10-3)*Assumptions!$H$80+(K$140=Assumptions!$H$10-2)*Assumptions!$H$81+(K$140=Assumptions!$H$10-1)*Assumptions!$H$82+(K$140=Assumptions!$H$10)*Assumptions!$H$83)*(1+Assumptions!$H$189)^(K$140-2026)</f>
        <v/>
      </c>
      <c r="L167" s="21">
        <f>'Sources &amp; Uses'!$G$47*((L$140=Assumptions!$H$10-4)*Assumptions!$H$79+(L$140=Assumptions!$H$10-3)*Assumptions!$H$80+(L$140=Assumptions!$H$10-2)*Assumptions!$H$81+(L$140=Assumptions!$H$10-1)*Assumptions!$H$82+(L$140=Assumptions!$H$10)*Assumptions!$H$83)*(1+Assumptions!$H$189)^(L$140-2026)</f>
        <v/>
      </c>
      <c r="M167" s="21">
        <f>'Sources &amp; Uses'!$G$47*((M$140=Assumptions!$H$10-4)*Assumptions!$H$79+(M$140=Assumptions!$H$10-3)*Assumptions!$H$80+(M$140=Assumptions!$H$10-2)*Assumptions!$H$81+(M$140=Assumptions!$H$10-1)*Assumptions!$H$82+(M$140=Assumptions!$H$10)*Assumptions!$H$83)*(1+Assumptions!$H$189)^(M$140-2026)</f>
        <v/>
      </c>
      <c r="N167" s="47">
        <f>SUM(D167:M167)</f>
        <v/>
      </c>
      <c r="O167" s="47">
        <f>'Sources &amp; Uses'!$G$47</f>
        <v/>
      </c>
      <c r="P167" s="47">
        <f>N167-O167</f>
        <v/>
      </c>
    </row>
    <row r="168">
      <c r="A168" s="9" t="inlineStr">
        <is>
          <t>Contingency, Phase 2</t>
        </is>
      </c>
      <c r="B168" s="24" t="inlineStr">
        <is>
          <t>Phase 2</t>
        </is>
      </c>
      <c r="C168" s="24" t="inlineStr">
        <is>
          <t>Opening -1, 0</t>
        </is>
      </c>
      <c r="D168" s="21">
        <f>'Sources &amp; Uses'!$G$48*((D$140=Assumptions!$H$10-2)*Assumptions!$H$87+(D$140=Assumptions!$H$10-1)*Assumptions!$H$88+(D$140=Assumptions!$H$10)*Assumptions!$H$89)*(1+Assumptions!$H$189)^(D$140-2026)</f>
        <v/>
      </c>
      <c r="E168" s="21">
        <f>'Sources &amp; Uses'!$G$48*((E$140=Assumptions!$H$10-2)*Assumptions!$H$87+(E$140=Assumptions!$H$10-1)*Assumptions!$H$88+(E$140=Assumptions!$H$10)*Assumptions!$H$89)*(1+Assumptions!$H$189)^(E$140-2026)</f>
        <v/>
      </c>
      <c r="F168" s="21">
        <f>'Sources &amp; Uses'!$G$48*((F$140=Assumptions!$H$10-2)*Assumptions!$H$87+(F$140=Assumptions!$H$10-1)*Assumptions!$H$88+(F$140=Assumptions!$H$10)*Assumptions!$H$89)*(1+Assumptions!$H$189)^(F$140-2026)</f>
        <v/>
      </c>
      <c r="G168" s="21">
        <f>'Sources &amp; Uses'!$G$48*((G$140=Assumptions!$H$10-2)*Assumptions!$H$87+(G$140=Assumptions!$H$10-1)*Assumptions!$H$88+(G$140=Assumptions!$H$10)*Assumptions!$H$89)*(1+Assumptions!$H$189)^(G$140-2026)</f>
        <v/>
      </c>
      <c r="H168" s="21">
        <f>'Sources &amp; Uses'!$G$48*((H$140=Assumptions!$H$10-2)*Assumptions!$H$87+(H$140=Assumptions!$H$10-1)*Assumptions!$H$88+(H$140=Assumptions!$H$10)*Assumptions!$H$89)*(1+Assumptions!$H$189)^(H$140-2026)</f>
        <v/>
      </c>
      <c r="I168" s="21">
        <f>'Sources &amp; Uses'!$G$48*((I$140=Assumptions!$H$10-2)*Assumptions!$H$87+(I$140=Assumptions!$H$10-1)*Assumptions!$H$88+(I$140=Assumptions!$H$10)*Assumptions!$H$89)*(1+Assumptions!$H$189)^(I$140-2026)</f>
        <v/>
      </c>
      <c r="J168" s="21">
        <f>'Sources &amp; Uses'!$G$48*((J$140=Assumptions!$H$10-2)*Assumptions!$H$87+(J$140=Assumptions!$H$10-1)*Assumptions!$H$88+(J$140=Assumptions!$H$10)*Assumptions!$H$89)*(1+Assumptions!$H$189)^(J$140-2026)</f>
        <v/>
      </c>
      <c r="K168" s="21">
        <f>'Sources &amp; Uses'!$G$48*((K$140=Assumptions!$H$10-2)*Assumptions!$H$87+(K$140=Assumptions!$H$10-1)*Assumptions!$H$88+(K$140=Assumptions!$H$10)*Assumptions!$H$89)*(1+Assumptions!$H$189)^(K$140-2026)</f>
        <v/>
      </c>
      <c r="L168" s="21">
        <f>'Sources &amp; Uses'!$G$48*((L$140=Assumptions!$H$10-2)*Assumptions!$H$87+(L$140=Assumptions!$H$10-1)*Assumptions!$H$88+(L$140=Assumptions!$H$10)*Assumptions!$H$89)*(1+Assumptions!$H$189)^(L$140-2026)</f>
        <v/>
      </c>
      <c r="M168" s="21">
        <f>'Sources &amp; Uses'!$G$48*((M$140=Assumptions!$H$10-2)*Assumptions!$H$87+(M$140=Assumptions!$H$10-1)*Assumptions!$H$88+(M$140=Assumptions!$H$10)*Assumptions!$H$89)*(1+Assumptions!$H$189)^(M$140-2026)</f>
        <v/>
      </c>
      <c r="N168" s="47">
        <f>SUM(D168:M168)</f>
        <v/>
      </c>
      <c r="O168" s="47">
        <f>'Sources &amp; Uses'!$G$48</f>
        <v/>
      </c>
      <c r="P168" s="47">
        <f>N168-O168</f>
        <v/>
      </c>
    </row>
    <row r="169">
      <c r="A169" s="9" t="inlineStr">
        <is>
          <t>Site infrastructure, Phase 3 share</t>
        </is>
      </c>
      <c r="B169" s="24" t="inlineStr">
        <is>
          <t>Phase 3</t>
        </is>
      </c>
      <c r="C169" s="24" t="inlineStr">
        <is>
          <t>Opening -2 to 0</t>
        </is>
      </c>
      <c r="D169" s="21">
        <f>'Sources &amp; Uses'!$G$51*((D$140=Assumptions!$H$11-2)*Assumptions!$H$90+(D$140=Assumptions!$H$11-1)*Assumptions!$H$91+(D$140=Assumptions!$H$11)*Assumptions!$H$92)*(1+Assumptions!$H$189)^(D$140-2026)</f>
        <v/>
      </c>
      <c r="E169" s="21">
        <f>'Sources &amp; Uses'!$G$51*((E$140=Assumptions!$H$11-2)*Assumptions!$H$90+(E$140=Assumptions!$H$11-1)*Assumptions!$H$91+(E$140=Assumptions!$H$11)*Assumptions!$H$92)*(1+Assumptions!$H$189)^(E$140-2026)</f>
        <v/>
      </c>
      <c r="F169" s="21">
        <f>'Sources &amp; Uses'!$G$51*((F$140=Assumptions!$H$11-2)*Assumptions!$H$90+(F$140=Assumptions!$H$11-1)*Assumptions!$H$91+(F$140=Assumptions!$H$11)*Assumptions!$H$92)*(1+Assumptions!$H$189)^(F$140-2026)</f>
        <v/>
      </c>
      <c r="G169" s="21">
        <f>'Sources &amp; Uses'!$G$51*((G$140=Assumptions!$H$11-2)*Assumptions!$H$90+(G$140=Assumptions!$H$11-1)*Assumptions!$H$91+(G$140=Assumptions!$H$11)*Assumptions!$H$92)*(1+Assumptions!$H$189)^(G$140-2026)</f>
        <v/>
      </c>
      <c r="H169" s="21">
        <f>'Sources &amp; Uses'!$G$51*((H$140=Assumptions!$H$11-2)*Assumptions!$H$90+(H$140=Assumptions!$H$11-1)*Assumptions!$H$91+(H$140=Assumptions!$H$11)*Assumptions!$H$92)*(1+Assumptions!$H$189)^(H$140-2026)</f>
        <v/>
      </c>
      <c r="I169" s="21">
        <f>'Sources &amp; Uses'!$G$51*((I$140=Assumptions!$H$11-2)*Assumptions!$H$90+(I$140=Assumptions!$H$11-1)*Assumptions!$H$91+(I$140=Assumptions!$H$11)*Assumptions!$H$92)*(1+Assumptions!$H$189)^(I$140-2026)</f>
        <v/>
      </c>
      <c r="J169" s="21">
        <f>'Sources &amp; Uses'!$G$51*((J$140=Assumptions!$H$11-2)*Assumptions!$H$90+(J$140=Assumptions!$H$11-1)*Assumptions!$H$91+(J$140=Assumptions!$H$11)*Assumptions!$H$92)*(1+Assumptions!$H$189)^(J$140-2026)</f>
        <v/>
      </c>
      <c r="K169" s="21">
        <f>'Sources &amp; Uses'!$G$51*((K$140=Assumptions!$H$11-2)*Assumptions!$H$90+(K$140=Assumptions!$H$11-1)*Assumptions!$H$91+(K$140=Assumptions!$H$11)*Assumptions!$H$92)*(1+Assumptions!$H$189)^(K$140-2026)</f>
        <v/>
      </c>
      <c r="L169" s="21">
        <f>'Sources &amp; Uses'!$G$51*((L$140=Assumptions!$H$11-2)*Assumptions!$H$90+(L$140=Assumptions!$H$11-1)*Assumptions!$H$91+(L$140=Assumptions!$H$11)*Assumptions!$H$92)*(1+Assumptions!$H$189)^(L$140-2026)</f>
        <v/>
      </c>
      <c r="M169" s="21">
        <f>'Sources &amp; Uses'!$G$51*((M$140=Assumptions!$H$11-2)*Assumptions!$H$90+(M$140=Assumptions!$H$11-1)*Assumptions!$H$91+(M$140=Assumptions!$H$11)*Assumptions!$H$92)*(1+Assumptions!$H$189)^(M$140-2026)</f>
        <v/>
      </c>
      <c r="N169" s="47">
        <f>SUM(D169:M169)</f>
        <v/>
      </c>
      <c r="O169" s="47">
        <f>'Sources &amp; Uses'!$G$51</f>
        <v/>
      </c>
      <c r="P169" s="47">
        <f>N169-O169</f>
        <v/>
      </c>
    </row>
    <row r="170">
      <c r="A170" s="9" t="inlineStr">
        <is>
          <t>Listening room and gallery barn, 3,000 sf</t>
        </is>
      </c>
      <c r="B170" s="24" t="inlineStr">
        <is>
          <t>Phase 3</t>
        </is>
      </c>
      <c r="C170" s="24" t="inlineStr">
        <is>
          <t>Opening -2 to 0</t>
        </is>
      </c>
      <c r="D170" s="21">
        <f>'Sources &amp; Uses'!$G$52*((D$140=Assumptions!$H$11-2)*Assumptions!$H$90+(D$140=Assumptions!$H$11-1)*Assumptions!$H$91+(D$140=Assumptions!$H$11)*Assumptions!$H$92)*(1+Assumptions!$H$189)^(D$140-2026)</f>
        <v/>
      </c>
      <c r="E170" s="21">
        <f>'Sources &amp; Uses'!$G$52*((E$140=Assumptions!$H$11-2)*Assumptions!$H$90+(E$140=Assumptions!$H$11-1)*Assumptions!$H$91+(E$140=Assumptions!$H$11)*Assumptions!$H$92)*(1+Assumptions!$H$189)^(E$140-2026)</f>
        <v/>
      </c>
      <c r="F170" s="21">
        <f>'Sources &amp; Uses'!$G$52*((F$140=Assumptions!$H$11-2)*Assumptions!$H$90+(F$140=Assumptions!$H$11-1)*Assumptions!$H$91+(F$140=Assumptions!$H$11)*Assumptions!$H$92)*(1+Assumptions!$H$189)^(F$140-2026)</f>
        <v/>
      </c>
      <c r="G170" s="21">
        <f>'Sources &amp; Uses'!$G$52*((G$140=Assumptions!$H$11-2)*Assumptions!$H$90+(G$140=Assumptions!$H$11-1)*Assumptions!$H$91+(G$140=Assumptions!$H$11)*Assumptions!$H$92)*(1+Assumptions!$H$189)^(G$140-2026)</f>
        <v/>
      </c>
      <c r="H170" s="21">
        <f>'Sources &amp; Uses'!$G$52*((H$140=Assumptions!$H$11-2)*Assumptions!$H$90+(H$140=Assumptions!$H$11-1)*Assumptions!$H$91+(H$140=Assumptions!$H$11)*Assumptions!$H$92)*(1+Assumptions!$H$189)^(H$140-2026)</f>
        <v/>
      </c>
      <c r="I170" s="21">
        <f>'Sources &amp; Uses'!$G$52*((I$140=Assumptions!$H$11-2)*Assumptions!$H$90+(I$140=Assumptions!$H$11-1)*Assumptions!$H$91+(I$140=Assumptions!$H$11)*Assumptions!$H$92)*(1+Assumptions!$H$189)^(I$140-2026)</f>
        <v/>
      </c>
      <c r="J170" s="21">
        <f>'Sources &amp; Uses'!$G$52*((J$140=Assumptions!$H$11-2)*Assumptions!$H$90+(J$140=Assumptions!$H$11-1)*Assumptions!$H$91+(J$140=Assumptions!$H$11)*Assumptions!$H$92)*(1+Assumptions!$H$189)^(J$140-2026)</f>
        <v/>
      </c>
      <c r="K170" s="21">
        <f>'Sources &amp; Uses'!$G$52*((K$140=Assumptions!$H$11-2)*Assumptions!$H$90+(K$140=Assumptions!$H$11-1)*Assumptions!$H$91+(K$140=Assumptions!$H$11)*Assumptions!$H$92)*(1+Assumptions!$H$189)^(K$140-2026)</f>
        <v/>
      </c>
      <c r="L170" s="21">
        <f>'Sources &amp; Uses'!$G$52*((L$140=Assumptions!$H$11-2)*Assumptions!$H$90+(L$140=Assumptions!$H$11-1)*Assumptions!$H$91+(L$140=Assumptions!$H$11)*Assumptions!$H$92)*(1+Assumptions!$H$189)^(L$140-2026)</f>
        <v/>
      </c>
      <c r="M170" s="21">
        <f>'Sources &amp; Uses'!$G$52*((M$140=Assumptions!$H$11-2)*Assumptions!$H$90+(M$140=Assumptions!$H$11-1)*Assumptions!$H$91+(M$140=Assumptions!$H$11)*Assumptions!$H$92)*(1+Assumptions!$H$189)^(M$140-2026)</f>
        <v/>
      </c>
      <c r="N170" s="47">
        <f>SUM(D170:M170)</f>
        <v/>
      </c>
      <c r="O170" s="47">
        <f>'Sources &amp; Uses'!$G$52</f>
        <v/>
      </c>
      <c r="P170" s="47">
        <f>N170-O170</f>
        <v/>
      </c>
    </row>
    <row r="171">
      <c r="A171" s="9" t="inlineStr">
        <is>
          <t>Commercial kitchen in the gallery barn</t>
        </is>
      </c>
      <c r="B171" s="24" t="inlineStr">
        <is>
          <t>Phase 3</t>
        </is>
      </c>
      <c r="C171" s="24" t="inlineStr">
        <is>
          <t>Opening -2 to 0</t>
        </is>
      </c>
      <c r="D171" s="21">
        <f>'Sources &amp; Uses'!$G$53*((D$140=Assumptions!$H$11-2)*Assumptions!$H$90+(D$140=Assumptions!$H$11-1)*Assumptions!$H$91+(D$140=Assumptions!$H$11)*Assumptions!$H$92)*(1+Assumptions!$H$189)^(D$140-2026)</f>
        <v/>
      </c>
      <c r="E171" s="21">
        <f>'Sources &amp; Uses'!$G$53*((E$140=Assumptions!$H$11-2)*Assumptions!$H$90+(E$140=Assumptions!$H$11-1)*Assumptions!$H$91+(E$140=Assumptions!$H$11)*Assumptions!$H$92)*(1+Assumptions!$H$189)^(E$140-2026)</f>
        <v/>
      </c>
      <c r="F171" s="21">
        <f>'Sources &amp; Uses'!$G$53*((F$140=Assumptions!$H$11-2)*Assumptions!$H$90+(F$140=Assumptions!$H$11-1)*Assumptions!$H$91+(F$140=Assumptions!$H$11)*Assumptions!$H$92)*(1+Assumptions!$H$189)^(F$140-2026)</f>
        <v/>
      </c>
      <c r="G171" s="21">
        <f>'Sources &amp; Uses'!$G$53*((G$140=Assumptions!$H$11-2)*Assumptions!$H$90+(G$140=Assumptions!$H$11-1)*Assumptions!$H$91+(G$140=Assumptions!$H$11)*Assumptions!$H$92)*(1+Assumptions!$H$189)^(G$140-2026)</f>
        <v/>
      </c>
      <c r="H171" s="21">
        <f>'Sources &amp; Uses'!$G$53*((H$140=Assumptions!$H$11-2)*Assumptions!$H$90+(H$140=Assumptions!$H$11-1)*Assumptions!$H$91+(H$140=Assumptions!$H$11)*Assumptions!$H$92)*(1+Assumptions!$H$189)^(H$140-2026)</f>
        <v/>
      </c>
      <c r="I171" s="21">
        <f>'Sources &amp; Uses'!$G$53*((I$140=Assumptions!$H$11-2)*Assumptions!$H$90+(I$140=Assumptions!$H$11-1)*Assumptions!$H$91+(I$140=Assumptions!$H$11)*Assumptions!$H$92)*(1+Assumptions!$H$189)^(I$140-2026)</f>
        <v/>
      </c>
      <c r="J171" s="21">
        <f>'Sources &amp; Uses'!$G$53*((J$140=Assumptions!$H$11-2)*Assumptions!$H$90+(J$140=Assumptions!$H$11-1)*Assumptions!$H$91+(J$140=Assumptions!$H$11)*Assumptions!$H$92)*(1+Assumptions!$H$189)^(J$140-2026)</f>
        <v/>
      </c>
      <c r="K171" s="21">
        <f>'Sources &amp; Uses'!$G$53*((K$140=Assumptions!$H$11-2)*Assumptions!$H$90+(K$140=Assumptions!$H$11-1)*Assumptions!$H$91+(K$140=Assumptions!$H$11)*Assumptions!$H$92)*(1+Assumptions!$H$189)^(K$140-2026)</f>
        <v/>
      </c>
      <c r="L171" s="21">
        <f>'Sources &amp; Uses'!$G$53*((L$140=Assumptions!$H$11-2)*Assumptions!$H$90+(L$140=Assumptions!$H$11-1)*Assumptions!$H$91+(L$140=Assumptions!$H$11)*Assumptions!$H$92)*(1+Assumptions!$H$189)^(L$140-2026)</f>
        <v/>
      </c>
      <c r="M171" s="21">
        <f>'Sources &amp; Uses'!$G$53*((M$140=Assumptions!$H$11-2)*Assumptions!$H$90+(M$140=Assumptions!$H$11-1)*Assumptions!$H$91+(M$140=Assumptions!$H$11)*Assumptions!$H$92)*(1+Assumptions!$H$189)^(M$140-2026)</f>
        <v/>
      </c>
      <c r="N171" s="47">
        <f>SUM(D171:M171)</f>
        <v/>
      </c>
      <c r="O171" s="47">
        <f>'Sources &amp; Uses'!$G$53</f>
        <v/>
      </c>
      <c r="P171" s="47">
        <f>N171-O171</f>
        <v/>
      </c>
    </row>
    <row r="172">
      <c r="A172" s="9" t="inlineStr">
        <is>
          <t>Gallery contents (none budgeted)</t>
        </is>
      </c>
      <c r="B172" s="24" t="inlineStr">
        <is>
          <t>Phase 3</t>
        </is>
      </c>
      <c r="C172" s="24" t="inlineStr">
        <is>
          <t>Opening -1, 0</t>
        </is>
      </c>
      <c r="D172" s="21">
        <f>'Sources &amp; Uses'!$G$54*((D$140=Assumptions!$H$11-1)*Assumptions!$H$95+(D$140=Assumptions!$H$11)*Assumptions!$H$96)*(1+Assumptions!$H$189)^(D$140-2026)</f>
        <v/>
      </c>
      <c r="E172" s="21">
        <f>'Sources &amp; Uses'!$G$54*((E$140=Assumptions!$H$11-1)*Assumptions!$H$95+(E$140=Assumptions!$H$11)*Assumptions!$H$96)*(1+Assumptions!$H$189)^(E$140-2026)</f>
        <v/>
      </c>
      <c r="F172" s="21">
        <f>'Sources &amp; Uses'!$G$54*((F$140=Assumptions!$H$11-1)*Assumptions!$H$95+(F$140=Assumptions!$H$11)*Assumptions!$H$96)*(1+Assumptions!$H$189)^(F$140-2026)</f>
        <v/>
      </c>
      <c r="G172" s="21">
        <f>'Sources &amp; Uses'!$G$54*((G$140=Assumptions!$H$11-1)*Assumptions!$H$95+(G$140=Assumptions!$H$11)*Assumptions!$H$96)*(1+Assumptions!$H$189)^(G$140-2026)</f>
        <v/>
      </c>
      <c r="H172" s="21">
        <f>'Sources &amp; Uses'!$G$54*((H$140=Assumptions!$H$11-1)*Assumptions!$H$95+(H$140=Assumptions!$H$11)*Assumptions!$H$96)*(1+Assumptions!$H$189)^(H$140-2026)</f>
        <v/>
      </c>
      <c r="I172" s="21">
        <f>'Sources &amp; Uses'!$G$54*((I$140=Assumptions!$H$11-1)*Assumptions!$H$95+(I$140=Assumptions!$H$11)*Assumptions!$H$96)*(1+Assumptions!$H$189)^(I$140-2026)</f>
        <v/>
      </c>
      <c r="J172" s="21">
        <f>'Sources &amp; Uses'!$G$54*((J$140=Assumptions!$H$11-1)*Assumptions!$H$95+(J$140=Assumptions!$H$11)*Assumptions!$H$96)*(1+Assumptions!$H$189)^(J$140-2026)</f>
        <v/>
      </c>
      <c r="K172" s="21">
        <f>'Sources &amp; Uses'!$G$54*((K$140=Assumptions!$H$11-1)*Assumptions!$H$95+(K$140=Assumptions!$H$11)*Assumptions!$H$96)*(1+Assumptions!$H$189)^(K$140-2026)</f>
        <v/>
      </c>
      <c r="L172" s="21">
        <f>'Sources &amp; Uses'!$G$54*((L$140=Assumptions!$H$11-1)*Assumptions!$H$95+(L$140=Assumptions!$H$11)*Assumptions!$H$96)*(1+Assumptions!$H$189)^(L$140-2026)</f>
        <v/>
      </c>
      <c r="M172" s="21">
        <f>'Sources &amp; Uses'!$G$54*((M$140=Assumptions!$H$11-1)*Assumptions!$H$95+(M$140=Assumptions!$H$11)*Assumptions!$H$96)*(1+Assumptions!$H$189)^(M$140-2026)</f>
        <v/>
      </c>
      <c r="N172" s="47">
        <f>SUM(D172:M172)</f>
        <v/>
      </c>
      <c r="O172" s="47">
        <f>'Sources &amp; Uses'!$G$54</f>
        <v/>
      </c>
      <c r="P172" s="47">
        <f>N172-O172</f>
        <v/>
      </c>
    </row>
    <row r="173">
      <c r="A173" s="9" t="inlineStr">
        <is>
          <t>Landscaping and artwork, the rest (incl. the commissioned works)</t>
        </is>
      </c>
      <c r="B173" s="24" t="inlineStr">
        <is>
          <t>Phase 3</t>
        </is>
      </c>
      <c r="C173" s="24" t="inlineStr">
        <is>
          <t>Opening -2 to 0</t>
        </is>
      </c>
      <c r="D173" s="21">
        <f>'Sources &amp; Uses'!$G$55*((D$140=Assumptions!$H$11-2)*Assumptions!$H$90+(D$140=Assumptions!$H$11-1)*Assumptions!$H$91+(D$140=Assumptions!$H$11)*Assumptions!$H$92)*(1+Assumptions!$H$189)^(D$140-2026)</f>
        <v/>
      </c>
      <c r="E173" s="21">
        <f>'Sources &amp; Uses'!$G$55*((E$140=Assumptions!$H$11-2)*Assumptions!$H$90+(E$140=Assumptions!$H$11-1)*Assumptions!$H$91+(E$140=Assumptions!$H$11)*Assumptions!$H$92)*(1+Assumptions!$H$189)^(E$140-2026)</f>
        <v/>
      </c>
      <c r="F173" s="21">
        <f>'Sources &amp; Uses'!$G$55*((F$140=Assumptions!$H$11-2)*Assumptions!$H$90+(F$140=Assumptions!$H$11-1)*Assumptions!$H$91+(F$140=Assumptions!$H$11)*Assumptions!$H$92)*(1+Assumptions!$H$189)^(F$140-2026)</f>
        <v/>
      </c>
      <c r="G173" s="21">
        <f>'Sources &amp; Uses'!$G$55*((G$140=Assumptions!$H$11-2)*Assumptions!$H$90+(G$140=Assumptions!$H$11-1)*Assumptions!$H$91+(G$140=Assumptions!$H$11)*Assumptions!$H$92)*(1+Assumptions!$H$189)^(G$140-2026)</f>
        <v/>
      </c>
      <c r="H173" s="21">
        <f>'Sources &amp; Uses'!$G$55*((H$140=Assumptions!$H$11-2)*Assumptions!$H$90+(H$140=Assumptions!$H$11-1)*Assumptions!$H$91+(H$140=Assumptions!$H$11)*Assumptions!$H$92)*(1+Assumptions!$H$189)^(H$140-2026)</f>
        <v/>
      </c>
      <c r="I173" s="21">
        <f>'Sources &amp; Uses'!$G$55*((I$140=Assumptions!$H$11-2)*Assumptions!$H$90+(I$140=Assumptions!$H$11-1)*Assumptions!$H$91+(I$140=Assumptions!$H$11)*Assumptions!$H$92)*(1+Assumptions!$H$189)^(I$140-2026)</f>
        <v/>
      </c>
      <c r="J173" s="21">
        <f>'Sources &amp; Uses'!$G$55*((J$140=Assumptions!$H$11-2)*Assumptions!$H$90+(J$140=Assumptions!$H$11-1)*Assumptions!$H$91+(J$140=Assumptions!$H$11)*Assumptions!$H$92)*(1+Assumptions!$H$189)^(J$140-2026)</f>
        <v/>
      </c>
      <c r="K173" s="21">
        <f>'Sources &amp; Uses'!$G$55*((K$140=Assumptions!$H$11-2)*Assumptions!$H$90+(K$140=Assumptions!$H$11-1)*Assumptions!$H$91+(K$140=Assumptions!$H$11)*Assumptions!$H$92)*(1+Assumptions!$H$189)^(K$140-2026)</f>
        <v/>
      </c>
      <c r="L173" s="21">
        <f>'Sources &amp; Uses'!$G$55*((L$140=Assumptions!$H$11-2)*Assumptions!$H$90+(L$140=Assumptions!$H$11-1)*Assumptions!$H$91+(L$140=Assumptions!$H$11)*Assumptions!$H$92)*(1+Assumptions!$H$189)^(L$140-2026)</f>
        <v/>
      </c>
      <c r="M173" s="21">
        <f>'Sources &amp; Uses'!$G$55*((M$140=Assumptions!$H$11-2)*Assumptions!$H$90+(M$140=Assumptions!$H$11-1)*Assumptions!$H$91+(M$140=Assumptions!$H$11)*Assumptions!$H$92)*(1+Assumptions!$H$189)^(M$140-2026)</f>
        <v/>
      </c>
      <c r="N173" s="47">
        <f>SUM(D173:M173)</f>
        <v/>
      </c>
      <c r="O173" s="47">
        <f>'Sources &amp; Uses'!$G$55</f>
        <v/>
      </c>
      <c r="P173" s="47">
        <f>N173-O173</f>
        <v/>
      </c>
    </row>
    <row r="174">
      <c r="A174" s="9" t="inlineStr">
        <is>
          <t>FF&amp;E, Phase 3 share</t>
        </is>
      </c>
      <c r="B174" s="24" t="inlineStr">
        <is>
          <t>Phase 3</t>
        </is>
      </c>
      <c r="C174" s="24" t="inlineStr">
        <is>
          <t>Opening year</t>
        </is>
      </c>
      <c r="D174" s="21">
        <f>'Sources &amp; Uses'!$G$56*(D$140=Assumptions!$H$11)*(1+Assumptions!$H$189)^(D$140-2026)</f>
        <v/>
      </c>
      <c r="E174" s="21">
        <f>'Sources &amp; Uses'!$G$56*(E$140=Assumptions!$H$11)*(1+Assumptions!$H$189)^(E$140-2026)</f>
        <v/>
      </c>
      <c r="F174" s="21">
        <f>'Sources &amp; Uses'!$G$56*(F$140=Assumptions!$H$11)*(1+Assumptions!$H$189)^(F$140-2026)</f>
        <v/>
      </c>
      <c r="G174" s="21">
        <f>'Sources &amp; Uses'!$G$56*(G$140=Assumptions!$H$11)*(1+Assumptions!$H$189)^(G$140-2026)</f>
        <v/>
      </c>
      <c r="H174" s="21">
        <f>'Sources &amp; Uses'!$G$56*(H$140=Assumptions!$H$11)*(1+Assumptions!$H$189)^(H$140-2026)</f>
        <v/>
      </c>
      <c r="I174" s="21">
        <f>'Sources &amp; Uses'!$G$56*(I$140=Assumptions!$H$11)*(1+Assumptions!$H$189)^(I$140-2026)</f>
        <v/>
      </c>
      <c r="J174" s="21">
        <f>'Sources &amp; Uses'!$G$56*(J$140=Assumptions!$H$11)*(1+Assumptions!$H$189)^(J$140-2026)</f>
        <v/>
      </c>
      <c r="K174" s="21">
        <f>'Sources &amp; Uses'!$G$56*(K$140=Assumptions!$H$11)*(1+Assumptions!$H$189)^(K$140-2026)</f>
        <v/>
      </c>
      <c r="L174" s="21">
        <f>'Sources &amp; Uses'!$G$56*(L$140=Assumptions!$H$11)*(1+Assumptions!$H$189)^(L$140-2026)</f>
        <v/>
      </c>
      <c r="M174" s="21">
        <f>'Sources &amp; Uses'!$G$56*(M$140=Assumptions!$H$11)*(1+Assumptions!$H$189)^(M$140-2026)</f>
        <v/>
      </c>
      <c r="N174" s="47">
        <f>SUM(D174:M174)</f>
        <v/>
      </c>
      <c r="O174" s="47">
        <f>'Sources &amp; Uses'!$G$56</f>
        <v/>
      </c>
      <c r="P174" s="47">
        <f>N174-O174</f>
        <v/>
      </c>
    </row>
    <row r="175">
      <c r="A175" s="9" t="inlineStr">
        <is>
          <t>Soft costs, Phase 3</t>
        </is>
      </c>
      <c r="B175" s="24" t="inlineStr">
        <is>
          <t>Phase 3</t>
        </is>
      </c>
      <c r="C175" s="24" t="inlineStr">
        <is>
          <t>Opening -2 to 0</t>
        </is>
      </c>
      <c r="D175" s="21">
        <f>'Sources &amp; Uses'!$G$57*((D$140=Assumptions!$H$11-2)*Assumptions!$H$84+(D$140=Assumptions!$H$11-1)*Assumptions!$H$85+(D$140=Assumptions!$H$11)*Assumptions!$H$86)*(1+Assumptions!$H$189)^(D$140-2026)</f>
        <v/>
      </c>
      <c r="E175" s="21">
        <f>'Sources &amp; Uses'!$G$57*((E$140=Assumptions!$H$11-2)*Assumptions!$H$84+(E$140=Assumptions!$H$11-1)*Assumptions!$H$85+(E$140=Assumptions!$H$11)*Assumptions!$H$86)*(1+Assumptions!$H$189)^(E$140-2026)</f>
        <v/>
      </c>
      <c r="F175" s="21">
        <f>'Sources &amp; Uses'!$G$57*((F$140=Assumptions!$H$11-2)*Assumptions!$H$84+(F$140=Assumptions!$H$11-1)*Assumptions!$H$85+(F$140=Assumptions!$H$11)*Assumptions!$H$86)*(1+Assumptions!$H$189)^(F$140-2026)</f>
        <v/>
      </c>
      <c r="G175" s="21">
        <f>'Sources &amp; Uses'!$G$57*((G$140=Assumptions!$H$11-2)*Assumptions!$H$84+(G$140=Assumptions!$H$11-1)*Assumptions!$H$85+(G$140=Assumptions!$H$11)*Assumptions!$H$86)*(1+Assumptions!$H$189)^(G$140-2026)</f>
        <v/>
      </c>
      <c r="H175" s="21">
        <f>'Sources &amp; Uses'!$G$57*((H$140=Assumptions!$H$11-2)*Assumptions!$H$84+(H$140=Assumptions!$H$11-1)*Assumptions!$H$85+(H$140=Assumptions!$H$11)*Assumptions!$H$86)*(1+Assumptions!$H$189)^(H$140-2026)</f>
        <v/>
      </c>
      <c r="I175" s="21">
        <f>'Sources &amp; Uses'!$G$57*((I$140=Assumptions!$H$11-2)*Assumptions!$H$84+(I$140=Assumptions!$H$11-1)*Assumptions!$H$85+(I$140=Assumptions!$H$11)*Assumptions!$H$86)*(1+Assumptions!$H$189)^(I$140-2026)</f>
        <v/>
      </c>
      <c r="J175" s="21">
        <f>'Sources &amp; Uses'!$G$57*((J$140=Assumptions!$H$11-2)*Assumptions!$H$84+(J$140=Assumptions!$H$11-1)*Assumptions!$H$85+(J$140=Assumptions!$H$11)*Assumptions!$H$86)*(1+Assumptions!$H$189)^(J$140-2026)</f>
        <v/>
      </c>
      <c r="K175" s="21">
        <f>'Sources &amp; Uses'!$G$57*((K$140=Assumptions!$H$11-2)*Assumptions!$H$84+(K$140=Assumptions!$H$11-1)*Assumptions!$H$85+(K$140=Assumptions!$H$11)*Assumptions!$H$86)*(1+Assumptions!$H$189)^(K$140-2026)</f>
        <v/>
      </c>
      <c r="L175" s="21">
        <f>'Sources &amp; Uses'!$G$57*((L$140=Assumptions!$H$11-2)*Assumptions!$H$84+(L$140=Assumptions!$H$11-1)*Assumptions!$H$85+(L$140=Assumptions!$H$11)*Assumptions!$H$86)*(1+Assumptions!$H$189)^(L$140-2026)</f>
        <v/>
      </c>
      <c r="M175" s="21">
        <f>'Sources &amp; Uses'!$G$57*((M$140=Assumptions!$H$11-2)*Assumptions!$H$84+(M$140=Assumptions!$H$11-1)*Assumptions!$H$85+(M$140=Assumptions!$H$11)*Assumptions!$H$86)*(1+Assumptions!$H$189)^(M$140-2026)</f>
        <v/>
      </c>
      <c r="N175" s="47">
        <f>SUM(D175:M175)</f>
        <v/>
      </c>
      <c r="O175" s="47">
        <f>'Sources &amp; Uses'!$G$57</f>
        <v/>
      </c>
      <c r="P175" s="47">
        <f>N175-O175</f>
        <v/>
      </c>
    </row>
    <row r="176">
      <c r="A176" s="9" t="inlineStr">
        <is>
          <t>Contingency, Phase 3</t>
        </is>
      </c>
      <c r="B176" s="24" t="inlineStr">
        <is>
          <t>Phase 3</t>
        </is>
      </c>
      <c r="C176" s="24" t="inlineStr">
        <is>
          <t>Opening -2 to 0</t>
        </is>
      </c>
      <c r="D176" s="21">
        <f>'Sources &amp; Uses'!$G$58*((D$140=Assumptions!$H$11-2)*Assumptions!$H$90+(D$140=Assumptions!$H$11-1)*Assumptions!$H$91+(D$140=Assumptions!$H$11)*Assumptions!$H$92)*(1+Assumptions!$H$189)^(D$140-2026)</f>
        <v/>
      </c>
      <c r="E176" s="21">
        <f>'Sources &amp; Uses'!$G$58*((E$140=Assumptions!$H$11-2)*Assumptions!$H$90+(E$140=Assumptions!$H$11-1)*Assumptions!$H$91+(E$140=Assumptions!$H$11)*Assumptions!$H$92)*(1+Assumptions!$H$189)^(E$140-2026)</f>
        <v/>
      </c>
      <c r="F176" s="21">
        <f>'Sources &amp; Uses'!$G$58*((F$140=Assumptions!$H$11-2)*Assumptions!$H$90+(F$140=Assumptions!$H$11-1)*Assumptions!$H$91+(F$140=Assumptions!$H$11)*Assumptions!$H$92)*(1+Assumptions!$H$189)^(F$140-2026)</f>
        <v/>
      </c>
      <c r="G176" s="21">
        <f>'Sources &amp; Uses'!$G$58*((G$140=Assumptions!$H$11-2)*Assumptions!$H$90+(G$140=Assumptions!$H$11-1)*Assumptions!$H$91+(G$140=Assumptions!$H$11)*Assumptions!$H$92)*(1+Assumptions!$H$189)^(G$140-2026)</f>
        <v/>
      </c>
      <c r="H176" s="21">
        <f>'Sources &amp; Uses'!$G$58*((H$140=Assumptions!$H$11-2)*Assumptions!$H$90+(H$140=Assumptions!$H$11-1)*Assumptions!$H$91+(H$140=Assumptions!$H$11)*Assumptions!$H$92)*(1+Assumptions!$H$189)^(H$140-2026)</f>
        <v/>
      </c>
      <c r="I176" s="21">
        <f>'Sources &amp; Uses'!$G$58*((I$140=Assumptions!$H$11-2)*Assumptions!$H$90+(I$140=Assumptions!$H$11-1)*Assumptions!$H$91+(I$140=Assumptions!$H$11)*Assumptions!$H$92)*(1+Assumptions!$H$189)^(I$140-2026)</f>
        <v/>
      </c>
      <c r="J176" s="21">
        <f>'Sources &amp; Uses'!$G$58*((J$140=Assumptions!$H$11-2)*Assumptions!$H$90+(J$140=Assumptions!$H$11-1)*Assumptions!$H$91+(J$140=Assumptions!$H$11)*Assumptions!$H$92)*(1+Assumptions!$H$189)^(J$140-2026)</f>
        <v/>
      </c>
      <c r="K176" s="21">
        <f>'Sources &amp; Uses'!$G$58*((K$140=Assumptions!$H$11-2)*Assumptions!$H$90+(K$140=Assumptions!$H$11-1)*Assumptions!$H$91+(K$140=Assumptions!$H$11)*Assumptions!$H$92)*(1+Assumptions!$H$189)^(K$140-2026)</f>
        <v/>
      </c>
      <c r="L176" s="21">
        <f>'Sources &amp; Uses'!$G$58*((L$140=Assumptions!$H$11-2)*Assumptions!$H$90+(L$140=Assumptions!$H$11-1)*Assumptions!$H$91+(L$140=Assumptions!$H$11)*Assumptions!$H$92)*(1+Assumptions!$H$189)^(L$140-2026)</f>
        <v/>
      </c>
      <c r="M176" s="21">
        <f>'Sources &amp; Uses'!$G$58*((M$140=Assumptions!$H$11-2)*Assumptions!$H$90+(M$140=Assumptions!$H$11-1)*Assumptions!$H$91+(M$140=Assumptions!$H$11)*Assumptions!$H$92)*(1+Assumptions!$H$189)^(M$140-2026)</f>
        <v/>
      </c>
      <c r="N176" s="47">
        <f>SUM(D176:M176)</f>
        <v/>
      </c>
      <c r="O176" s="47">
        <f>'Sources &amp; Uses'!$G$58</f>
        <v/>
      </c>
      <c r="P176" s="47">
        <f>N176-O176</f>
        <v/>
      </c>
    </row>
    <row r="177">
      <c r="A177" s="9" t="inlineStr">
        <is>
          <t>Development-period overhead until Phase 1 opens</t>
        </is>
      </c>
      <c r="B177" s="24" t="inlineStr">
        <is>
          <t>Pre-opening</t>
        </is>
      </c>
      <c r="C177" s="24" t="inlineStr">
        <is>
          <t>Each year before Phase 1</t>
        </is>
      </c>
      <c r="D177" s="21">
        <f>Assumptions!$H$72*(D$140&gt;=Assumptions!$H$8)*(D$140&lt;Assumptions!$H$9)*(1+Assumptions!$H$189)^(D$140-2026)</f>
        <v/>
      </c>
      <c r="E177" s="21">
        <f>Assumptions!$H$72*(E$140&gt;=Assumptions!$H$8)*(E$140&lt;Assumptions!$H$9)*(1+Assumptions!$H$189)^(E$140-2026)</f>
        <v/>
      </c>
      <c r="F177" s="21">
        <f>Assumptions!$H$72*(F$140&gt;=Assumptions!$H$8)*(F$140&lt;Assumptions!$H$9)*(1+Assumptions!$H$189)^(F$140-2026)</f>
        <v/>
      </c>
      <c r="G177" s="21">
        <f>Assumptions!$H$72*(G$140&gt;=Assumptions!$H$8)*(G$140&lt;Assumptions!$H$9)*(1+Assumptions!$H$189)^(G$140-2026)</f>
        <v/>
      </c>
      <c r="H177" s="21">
        <f>Assumptions!$H$72*(H$140&gt;=Assumptions!$H$8)*(H$140&lt;Assumptions!$H$9)*(1+Assumptions!$H$189)^(H$140-2026)</f>
        <v/>
      </c>
      <c r="I177" s="21">
        <f>Assumptions!$H$72*(I$140&gt;=Assumptions!$H$8)*(I$140&lt;Assumptions!$H$9)*(1+Assumptions!$H$189)^(I$140-2026)</f>
        <v/>
      </c>
      <c r="J177" s="21">
        <f>Assumptions!$H$72*(J$140&gt;=Assumptions!$H$8)*(J$140&lt;Assumptions!$H$9)*(1+Assumptions!$H$189)^(J$140-2026)</f>
        <v/>
      </c>
      <c r="K177" s="21">
        <f>Assumptions!$H$72*(K$140&gt;=Assumptions!$H$8)*(K$140&lt;Assumptions!$H$9)*(1+Assumptions!$H$189)^(K$140-2026)</f>
        <v/>
      </c>
      <c r="L177" s="21">
        <f>Assumptions!$H$72*(L$140&gt;=Assumptions!$H$8)*(L$140&lt;Assumptions!$H$9)*(1+Assumptions!$H$189)^(L$140-2026)</f>
        <v/>
      </c>
      <c r="M177" s="21">
        <f>Assumptions!$H$72*(M$140&gt;=Assumptions!$H$8)*(M$140&lt;Assumptions!$H$9)*(1+Assumptions!$H$189)^(M$140-2026)</f>
        <v/>
      </c>
      <c r="N177" s="47">
        <f>SUM(D177:M177)</f>
        <v/>
      </c>
      <c r="O177" s="47">
        <f>'Sources &amp; Uses'!$G$62</f>
        <v/>
      </c>
      <c r="P177" s="47">
        <f>N177-O177</f>
        <v/>
      </c>
    </row>
    <row r="178">
      <c r="A178" s="9" t="inlineStr">
        <is>
          <t>Pre-opening, Phase 1 (hiring, training, launch, supplies)</t>
        </is>
      </c>
      <c r="B178" s="24" t="inlineStr">
        <is>
          <t>Pre-opening</t>
        </is>
      </c>
      <c r="C178" s="24" t="inlineStr">
        <is>
          <t>Opening year</t>
        </is>
      </c>
      <c r="D178" s="21">
        <f>'Sources &amp; Uses'!$G$63*(D$140=Assumptions!$H$9)*(1+Assumptions!$H$189)^(D$140-2026)</f>
        <v/>
      </c>
      <c r="E178" s="21">
        <f>'Sources &amp; Uses'!$G$63*(E$140=Assumptions!$H$9)*(1+Assumptions!$H$189)^(E$140-2026)</f>
        <v/>
      </c>
      <c r="F178" s="21">
        <f>'Sources &amp; Uses'!$G$63*(F$140=Assumptions!$H$9)*(1+Assumptions!$H$189)^(F$140-2026)</f>
        <v/>
      </c>
      <c r="G178" s="21">
        <f>'Sources &amp; Uses'!$G$63*(G$140=Assumptions!$H$9)*(1+Assumptions!$H$189)^(G$140-2026)</f>
        <v/>
      </c>
      <c r="H178" s="21">
        <f>'Sources &amp; Uses'!$G$63*(H$140=Assumptions!$H$9)*(1+Assumptions!$H$189)^(H$140-2026)</f>
        <v/>
      </c>
      <c r="I178" s="21">
        <f>'Sources &amp; Uses'!$G$63*(I$140=Assumptions!$H$9)*(1+Assumptions!$H$189)^(I$140-2026)</f>
        <v/>
      </c>
      <c r="J178" s="21">
        <f>'Sources &amp; Uses'!$G$63*(J$140=Assumptions!$H$9)*(1+Assumptions!$H$189)^(J$140-2026)</f>
        <v/>
      </c>
      <c r="K178" s="21">
        <f>'Sources &amp; Uses'!$G$63*(K$140=Assumptions!$H$9)*(1+Assumptions!$H$189)^(K$140-2026)</f>
        <v/>
      </c>
      <c r="L178" s="21">
        <f>'Sources &amp; Uses'!$G$63*(L$140=Assumptions!$H$9)*(1+Assumptions!$H$189)^(L$140-2026)</f>
        <v/>
      </c>
      <c r="M178" s="21">
        <f>'Sources &amp; Uses'!$G$63*(M$140=Assumptions!$H$9)*(1+Assumptions!$H$189)^(M$140-2026)</f>
        <v/>
      </c>
      <c r="N178" s="47">
        <f>SUM(D178:M178)</f>
        <v/>
      </c>
      <c r="O178" s="47">
        <f>'Sources &amp; Uses'!$G$63</f>
        <v/>
      </c>
      <c r="P178" s="47">
        <f>N178-O178</f>
        <v/>
      </c>
    </row>
    <row r="179">
      <c r="A179" s="9" t="inlineStr">
        <is>
          <t>Pre-opening, Phase 2</t>
        </is>
      </c>
      <c r="B179" s="24" t="inlineStr">
        <is>
          <t>Pre-opening</t>
        </is>
      </c>
      <c r="C179" s="24" t="inlineStr">
        <is>
          <t>Opening year</t>
        </is>
      </c>
      <c r="D179" s="21">
        <f>'Sources &amp; Uses'!$G$64*(D$140=Assumptions!$H$10)*(1+Assumptions!$H$189)^(D$140-2026)</f>
        <v/>
      </c>
      <c r="E179" s="21">
        <f>'Sources &amp; Uses'!$G$64*(E$140=Assumptions!$H$10)*(1+Assumptions!$H$189)^(E$140-2026)</f>
        <v/>
      </c>
      <c r="F179" s="21">
        <f>'Sources &amp; Uses'!$G$64*(F$140=Assumptions!$H$10)*(1+Assumptions!$H$189)^(F$140-2026)</f>
        <v/>
      </c>
      <c r="G179" s="21">
        <f>'Sources &amp; Uses'!$G$64*(G$140=Assumptions!$H$10)*(1+Assumptions!$H$189)^(G$140-2026)</f>
        <v/>
      </c>
      <c r="H179" s="21">
        <f>'Sources &amp; Uses'!$G$64*(H$140=Assumptions!$H$10)*(1+Assumptions!$H$189)^(H$140-2026)</f>
        <v/>
      </c>
      <c r="I179" s="21">
        <f>'Sources &amp; Uses'!$G$64*(I$140=Assumptions!$H$10)*(1+Assumptions!$H$189)^(I$140-2026)</f>
        <v/>
      </c>
      <c r="J179" s="21">
        <f>'Sources &amp; Uses'!$G$64*(J$140=Assumptions!$H$10)*(1+Assumptions!$H$189)^(J$140-2026)</f>
        <v/>
      </c>
      <c r="K179" s="21">
        <f>'Sources &amp; Uses'!$G$64*(K$140=Assumptions!$H$10)*(1+Assumptions!$H$189)^(K$140-2026)</f>
        <v/>
      </c>
      <c r="L179" s="21">
        <f>'Sources &amp; Uses'!$G$64*(L$140=Assumptions!$H$10)*(1+Assumptions!$H$189)^(L$140-2026)</f>
        <v/>
      </c>
      <c r="M179" s="21">
        <f>'Sources &amp; Uses'!$G$64*(M$140=Assumptions!$H$10)*(1+Assumptions!$H$189)^(M$140-2026)</f>
        <v/>
      </c>
      <c r="N179" s="47">
        <f>SUM(D179:M179)</f>
        <v/>
      </c>
      <c r="O179" s="47">
        <f>'Sources &amp; Uses'!$G$64</f>
        <v/>
      </c>
      <c r="P179" s="47">
        <f>N179-O179</f>
        <v/>
      </c>
    </row>
    <row r="180">
      <c r="A180" s="9" t="inlineStr">
        <is>
          <t>Pre-opening, Phase 3</t>
        </is>
      </c>
      <c r="B180" s="24" t="inlineStr">
        <is>
          <t>Pre-opening</t>
        </is>
      </c>
      <c r="C180" s="24" t="inlineStr">
        <is>
          <t>Opening year</t>
        </is>
      </c>
      <c r="D180" s="21">
        <f>'Sources &amp; Uses'!$G$65*(D$140=Assumptions!$H$11)*(1+Assumptions!$H$189)^(D$140-2026)</f>
        <v/>
      </c>
      <c r="E180" s="21">
        <f>'Sources &amp; Uses'!$G$65*(E$140=Assumptions!$H$11)*(1+Assumptions!$H$189)^(E$140-2026)</f>
        <v/>
      </c>
      <c r="F180" s="21">
        <f>'Sources &amp; Uses'!$G$65*(F$140=Assumptions!$H$11)*(1+Assumptions!$H$189)^(F$140-2026)</f>
        <v/>
      </c>
      <c r="G180" s="21">
        <f>'Sources &amp; Uses'!$G$65*(G$140=Assumptions!$H$11)*(1+Assumptions!$H$189)^(G$140-2026)</f>
        <v/>
      </c>
      <c r="H180" s="21">
        <f>'Sources &amp; Uses'!$G$65*(H$140=Assumptions!$H$11)*(1+Assumptions!$H$189)^(H$140-2026)</f>
        <v/>
      </c>
      <c r="I180" s="21">
        <f>'Sources &amp; Uses'!$G$65*(I$140=Assumptions!$H$11)*(1+Assumptions!$H$189)^(I$140-2026)</f>
        <v/>
      </c>
      <c r="J180" s="21">
        <f>'Sources &amp; Uses'!$G$65*(J$140=Assumptions!$H$11)*(1+Assumptions!$H$189)^(J$140-2026)</f>
        <v/>
      </c>
      <c r="K180" s="21">
        <f>'Sources &amp; Uses'!$G$65*(K$140=Assumptions!$H$11)*(1+Assumptions!$H$189)^(K$140-2026)</f>
        <v/>
      </c>
      <c r="L180" s="21">
        <f>'Sources &amp; Uses'!$G$65*(L$140=Assumptions!$H$11)*(1+Assumptions!$H$189)^(L$140-2026)</f>
        <v/>
      </c>
      <c r="M180" s="21">
        <f>'Sources &amp; Uses'!$G$65*(M$140=Assumptions!$H$11)*(1+Assumptions!$H$189)^(M$140-2026)</f>
        <v/>
      </c>
      <c r="N180" s="47">
        <f>SUM(D180:M180)</f>
        <v/>
      </c>
      <c r="O180" s="47">
        <f>'Sources &amp; Uses'!$G$65</f>
        <v/>
      </c>
      <c r="P180" s="47">
        <f>N180-O180</f>
        <v/>
      </c>
    </row>
    <row r="181">
      <c r="A181" s="48" t="inlineStr">
        <is>
          <t>TOTAL CAPITAL AND PRE-OPENING USES</t>
        </is>
      </c>
      <c r="B181" s="49" t="n"/>
      <c r="C181" s="49" t="n"/>
      <c r="D181" s="50">
        <f>SUM(D141:D180)</f>
        <v/>
      </c>
      <c r="E181" s="50">
        <f>SUM(E141:E180)</f>
        <v/>
      </c>
      <c r="F181" s="50">
        <f>SUM(F141:F180)</f>
        <v/>
      </c>
      <c r="G181" s="50">
        <f>SUM(G141:G180)</f>
        <v/>
      </c>
      <c r="H181" s="50">
        <f>SUM(H141:H180)</f>
        <v/>
      </c>
      <c r="I181" s="50">
        <f>SUM(I141:I180)</f>
        <v/>
      </c>
      <c r="J181" s="50">
        <f>SUM(J141:J180)</f>
        <v/>
      </c>
      <c r="K181" s="50">
        <f>SUM(K141:K180)</f>
        <v/>
      </c>
      <c r="L181" s="50">
        <f>SUM(L141:L180)</f>
        <v/>
      </c>
      <c r="M181" s="50">
        <f>SUM(M141:M180)</f>
        <v/>
      </c>
      <c r="N181" s="50">
        <f>SUM(N141:N180)</f>
        <v/>
      </c>
      <c r="O181" s="50">
        <f>SUM(O141:O180)</f>
        <v/>
      </c>
      <c r="P181" s="50">
        <f>SUM(P141:P180)</f>
        <v/>
      </c>
    </row>
  </sheetData>
  <pageMargins left="0.75" right="0.75" top="1" bottom="1" header="0.5" footer="0.5"/>
  <pageSetup orientation="landscape" fitToWidth="1"/>
</worksheet>
</file>

<file path=xl/worksheets/sheet6.xml><?xml version="1.0" encoding="utf-8"?>
<worksheet xmlns="http://schemas.openxmlformats.org/spreadsheetml/2006/main">
  <sheetPr>
    <outlinePr summaryBelow="1" summaryRight="1"/>
    <pageSetUpPr fitToPage="1"/>
  </sheetPr>
  <dimension ref="A1:N1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48" customWidth="1" min="14" max="14"/>
  </cols>
  <sheetData>
    <row r="1">
      <c r="A1" s="1" t="inlineStr">
        <is>
          <t>Bastion  -  10-year operating pro forma  -  Base case</t>
        </is>
      </c>
    </row>
    <row r="2">
      <c r="A2" s="2" t="inlineStr">
        <is>
          <t>Base: 12 cabins on 25 acres and USD 1.5M of land, Low California prices (simple, well-built buildings, an easy parcel, a clean permit), base demand. Constant 2026 USD. Contributed income is shown separately from earned revenue. Cash flow is before financing (no debt service, no depreciation).</t>
        </is>
      </c>
    </row>
    <row r="4">
      <c r="A4" s="3" t="inlineStr">
        <is>
          <t>USD, constant 2026</t>
        </is>
      </c>
      <c r="B4" s="4" t="n">
        <v>2027</v>
      </c>
      <c r="C4" s="4" t="n">
        <v>2028</v>
      </c>
      <c r="D4" s="4" t="n">
        <v>2029</v>
      </c>
      <c r="E4" s="4" t="n">
        <v>2030</v>
      </c>
      <c r="F4" s="4" t="n">
        <v>2031</v>
      </c>
      <c r="G4" s="4" t="n">
        <v>2032</v>
      </c>
      <c r="H4" s="4" t="n">
        <v>2033</v>
      </c>
      <c r="I4" s="4" t="n">
        <v>2034</v>
      </c>
      <c r="J4" s="4" t="n">
        <v>2035</v>
      </c>
      <c r="K4" s="4" t="n">
        <v>2036</v>
      </c>
      <c r="L4" s="4" t="inlineStr">
        <is>
          <t>Stabilized</t>
        </is>
      </c>
      <c r="M4" s="4" t="inlineStr">
        <is>
          <t>2027-36 total</t>
        </is>
      </c>
      <c r="N4" s="4" t="inlineStr">
        <is>
          <t>Notes</t>
        </is>
      </c>
    </row>
    <row r="5">
      <c r="A5" s="7" t="inlineStr">
        <is>
          <t>TIMING AND DRIVERS</t>
        </is>
      </c>
      <c r="B5" s="8" t="n"/>
      <c r="C5" s="8" t="n"/>
      <c r="D5" s="8" t="n"/>
      <c r="E5" s="8" t="n"/>
      <c r="F5" s="8" t="n"/>
      <c r="G5" s="8" t="n"/>
      <c r="H5" s="8" t="n"/>
      <c r="I5" s="8" t="n"/>
      <c r="J5" s="8" t="n"/>
      <c r="K5" s="8" t="n"/>
      <c r="L5" s="8" t="n"/>
      <c r="M5" s="8" t="n"/>
      <c r="N5" s="8" t="n"/>
    </row>
    <row r="6">
      <c r="A6" s="37" t="inlineStr">
        <is>
          <t>Year</t>
        </is>
      </c>
      <c r="B6" s="51">
        <f>Assumptions!$F$7</f>
        <v/>
      </c>
      <c r="C6" s="51">
        <f>B6+1</f>
        <v/>
      </c>
      <c r="D6" s="51">
        <f>C6+1</f>
        <v/>
      </c>
      <c r="E6" s="51">
        <f>D6+1</f>
        <v/>
      </c>
      <c r="F6" s="51">
        <f>E6+1</f>
        <v/>
      </c>
      <c r="G6" s="51">
        <f>F6+1</f>
        <v/>
      </c>
      <c r="H6" s="51">
        <f>G6+1</f>
        <v/>
      </c>
      <c r="I6" s="51">
        <f>H6+1</f>
        <v/>
      </c>
      <c r="J6" s="51">
        <f>I6+1</f>
        <v/>
      </c>
      <c r="K6" s="51">
        <f>J6+1</f>
        <v/>
      </c>
      <c r="L6" s="52">
        <f>9999</f>
        <v/>
      </c>
    </row>
    <row r="7">
      <c r="A7" s="37" t="inlineStr">
        <is>
          <t>Operating year (1 = Phase 1 opening year)</t>
        </is>
      </c>
      <c r="B7" s="21">
        <f>B$6-Assumptions!$F$9+1</f>
        <v/>
      </c>
      <c r="C7" s="21">
        <f>C$6-Assumptions!$F$9+1</f>
        <v/>
      </c>
      <c r="D7" s="21">
        <f>D$6-Assumptions!$F$9+1</f>
        <v/>
      </c>
      <c r="E7" s="21">
        <f>E$6-Assumptions!$F$9+1</f>
        <v/>
      </c>
      <c r="F7" s="21">
        <f>F$6-Assumptions!$F$9+1</f>
        <v/>
      </c>
      <c r="G7" s="21">
        <f>G$6-Assumptions!$F$9+1</f>
        <v/>
      </c>
      <c r="H7" s="21">
        <f>H$6-Assumptions!$F$9+1</f>
        <v/>
      </c>
      <c r="I7" s="21">
        <f>I$6-Assumptions!$F$9+1</f>
        <v/>
      </c>
      <c r="J7" s="21">
        <f>J$6-Assumptions!$F$9+1</f>
        <v/>
      </c>
      <c r="K7" s="21">
        <f>K$6-Assumptions!$F$9+1</f>
        <v/>
      </c>
      <c r="L7" s="53">
        <f>L$6-Assumptions!$F$9+1</f>
        <v/>
      </c>
      <c r="N7" s="54" t="inlineStr">
        <is>
          <t>Phases 1 and 2 open in May 2030 (share set on Assumptions)</t>
        </is>
      </c>
    </row>
    <row r="8">
      <c r="A8" s="37" t="inlineStr">
        <is>
          <t>Phase 1 in operation (share of year)</t>
        </is>
      </c>
      <c r="B8" s="55">
        <f>IF(B$6&lt;Assumptions!$F$9,0,IF(B$6=Assumptions!$F$9,Assumptions!$F$12,1))</f>
        <v/>
      </c>
      <c r="C8" s="55">
        <f>IF(C$6&lt;Assumptions!$F$9,0,IF(C$6=Assumptions!$F$9,Assumptions!$F$12,1))</f>
        <v/>
      </c>
      <c r="D8" s="55">
        <f>IF(D$6&lt;Assumptions!$F$9,0,IF(D$6=Assumptions!$F$9,Assumptions!$F$12,1))</f>
        <v/>
      </c>
      <c r="E8" s="55">
        <f>IF(E$6&lt;Assumptions!$F$9,0,IF(E$6=Assumptions!$F$9,Assumptions!$F$12,1))</f>
        <v/>
      </c>
      <c r="F8" s="55">
        <f>IF(F$6&lt;Assumptions!$F$9,0,IF(F$6=Assumptions!$F$9,Assumptions!$F$12,1))</f>
        <v/>
      </c>
      <c r="G8" s="55">
        <f>IF(G$6&lt;Assumptions!$F$9,0,IF(G$6=Assumptions!$F$9,Assumptions!$F$12,1))</f>
        <v/>
      </c>
      <c r="H8" s="55">
        <f>IF(H$6&lt;Assumptions!$F$9,0,IF(H$6=Assumptions!$F$9,Assumptions!$F$12,1))</f>
        <v/>
      </c>
      <c r="I8" s="55">
        <f>IF(I$6&lt;Assumptions!$F$9,0,IF(I$6=Assumptions!$F$9,Assumptions!$F$12,1))</f>
        <v/>
      </c>
      <c r="J8" s="55">
        <f>IF(J$6&lt;Assumptions!$F$9,0,IF(J$6=Assumptions!$F$9,Assumptions!$F$12,1))</f>
        <v/>
      </c>
      <c r="K8" s="55">
        <f>IF(K$6&lt;Assumptions!$F$9,0,IF(K$6=Assumptions!$F$9,Assumptions!$F$12,1))</f>
        <v/>
      </c>
      <c r="L8" s="56">
        <f>IF(L$6&lt;Assumptions!$F$9,0,IF(L$6=Assumptions!$F$9,Assumptions!$F$12,1))</f>
        <v/>
      </c>
    </row>
    <row r="9">
      <c r="A9" s="37" t="inlineStr">
        <is>
          <t>Phase 2 in operation (share of year)</t>
        </is>
      </c>
      <c r="B9" s="55">
        <f>IF(B$6&lt;Assumptions!$F$10,0,IF(B$6=Assumptions!$F$10,Assumptions!$F$13,1))</f>
        <v/>
      </c>
      <c r="C9" s="55">
        <f>IF(C$6&lt;Assumptions!$F$10,0,IF(C$6=Assumptions!$F$10,Assumptions!$F$13,1))</f>
        <v/>
      </c>
      <c r="D9" s="55">
        <f>IF(D$6&lt;Assumptions!$F$10,0,IF(D$6=Assumptions!$F$10,Assumptions!$F$13,1))</f>
        <v/>
      </c>
      <c r="E9" s="55">
        <f>IF(E$6&lt;Assumptions!$F$10,0,IF(E$6=Assumptions!$F$10,Assumptions!$F$13,1))</f>
        <v/>
      </c>
      <c r="F9" s="55">
        <f>IF(F$6&lt;Assumptions!$F$10,0,IF(F$6=Assumptions!$F$10,Assumptions!$F$13,1))</f>
        <v/>
      </c>
      <c r="G9" s="55">
        <f>IF(G$6&lt;Assumptions!$F$10,0,IF(G$6=Assumptions!$F$10,Assumptions!$F$13,1))</f>
        <v/>
      </c>
      <c r="H9" s="55">
        <f>IF(H$6&lt;Assumptions!$F$10,0,IF(H$6=Assumptions!$F$10,Assumptions!$F$13,1))</f>
        <v/>
      </c>
      <c r="I9" s="55">
        <f>IF(I$6&lt;Assumptions!$F$10,0,IF(I$6=Assumptions!$F$10,Assumptions!$F$13,1))</f>
        <v/>
      </c>
      <c r="J9" s="55">
        <f>IF(J$6&lt;Assumptions!$F$10,0,IF(J$6=Assumptions!$F$10,Assumptions!$F$13,1))</f>
        <v/>
      </c>
      <c r="K9" s="55">
        <f>IF(K$6&lt;Assumptions!$F$10,0,IF(K$6=Assumptions!$F$10,Assumptions!$F$13,1))</f>
        <v/>
      </c>
      <c r="L9" s="56">
        <f>IF(L$6&lt;Assumptions!$F$10,0,IF(L$6=Assumptions!$F$10,Assumptions!$F$13,1))</f>
        <v/>
      </c>
    </row>
    <row r="10">
      <c r="A10" s="37" t="inlineStr">
        <is>
          <t>Phase 3 in operation (share of year)</t>
        </is>
      </c>
      <c r="B10" s="55">
        <f>IF(B$6&lt;Assumptions!$F$11,0,IF(B$6=Assumptions!$F$11,Assumptions!$F$14,1))</f>
        <v/>
      </c>
      <c r="C10" s="55">
        <f>IF(C$6&lt;Assumptions!$F$11,0,IF(C$6=Assumptions!$F$11,Assumptions!$F$14,1))</f>
        <v/>
      </c>
      <c r="D10" s="55">
        <f>IF(D$6&lt;Assumptions!$F$11,0,IF(D$6=Assumptions!$F$11,Assumptions!$F$14,1))</f>
        <v/>
      </c>
      <c r="E10" s="55">
        <f>IF(E$6&lt;Assumptions!$F$11,0,IF(E$6=Assumptions!$F$11,Assumptions!$F$14,1))</f>
        <v/>
      </c>
      <c r="F10" s="55">
        <f>IF(F$6&lt;Assumptions!$F$11,0,IF(F$6=Assumptions!$F$11,Assumptions!$F$14,1))</f>
        <v/>
      </c>
      <c r="G10" s="55">
        <f>IF(G$6&lt;Assumptions!$F$11,0,IF(G$6=Assumptions!$F$11,Assumptions!$F$14,1))</f>
        <v/>
      </c>
      <c r="H10" s="55">
        <f>IF(H$6&lt;Assumptions!$F$11,0,IF(H$6=Assumptions!$F$11,Assumptions!$F$14,1))</f>
        <v/>
      </c>
      <c r="I10" s="55">
        <f>IF(I$6&lt;Assumptions!$F$11,0,IF(I$6=Assumptions!$F$11,Assumptions!$F$14,1))</f>
        <v/>
      </c>
      <c r="J10" s="55">
        <f>IF(J$6&lt;Assumptions!$F$11,0,IF(J$6=Assumptions!$F$11,Assumptions!$F$14,1))</f>
        <v/>
      </c>
      <c r="K10" s="55">
        <f>IF(K$6&lt;Assumptions!$F$11,0,IF(K$6=Assumptions!$F$11,Assumptions!$F$14,1))</f>
        <v/>
      </c>
      <c r="L10" s="56">
        <f>IF(L$6&lt;Assumptions!$F$11,0,IF(L$6=Assumptions!$F$11,Assumptions!$F$14,1))</f>
        <v/>
      </c>
    </row>
    <row r="11">
      <c r="A11" s="37" t="inlineStr">
        <is>
          <t>Before Phase 1 opening (1 = yes)</t>
        </is>
      </c>
      <c r="B11" s="21">
        <f>IF(B$6&lt;Assumptions!$F$9,1,0)</f>
        <v/>
      </c>
      <c r="C11" s="21">
        <f>IF(C$6&lt;Assumptions!$F$9,1,0)</f>
        <v/>
      </c>
      <c r="D11" s="21">
        <f>IF(D$6&lt;Assumptions!$F$9,1,0)</f>
        <v/>
      </c>
      <c r="E11" s="21">
        <f>IF(E$6&lt;Assumptions!$F$9,1,0)</f>
        <v/>
      </c>
      <c r="F11" s="21">
        <f>IF(F$6&lt;Assumptions!$F$9,1,0)</f>
        <v/>
      </c>
      <c r="G11" s="21">
        <f>IF(G$6&lt;Assumptions!$F$9,1,0)</f>
        <v/>
      </c>
      <c r="H11" s="21">
        <f>IF(H$6&lt;Assumptions!$F$9,1,0)</f>
        <v/>
      </c>
      <c r="I11" s="21">
        <f>IF(I$6&lt;Assumptions!$F$9,1,0)</f>
        <v/>
      </c>
      <c r="J11" s="21">
        <f>IF(J$6&lt;Assumptions!$F$9,1,0)</f>
        <v/>
      </c>
      <c r="K11" s="21">
        <f>IF(K$6&lt;Assumptions!$F$9,1,0)</f>
        <v/>
      </c>
      <c r="L11" s="53">
        <f>IF(L$6&lt;Assumptions!$F$9,1,0)</f>
        <v/>
      </c>
    </row>
    <row r="12">
      <c r="A12" s="37" t="inlineStr">
        <is>
          <t>Stage 0 pop-up year on site (1 = yes)</t>
        </is>
      </c>
      <c r="B12" s="21">
        <f>IF(AND(B$6&gt;Assumptions!$F$8,B$6&lt;Assumptions!$F$9),1,0)</f>
        <v/>
      </c>
      <c r="C12" s="21">
        <f>IF(AND(C$6&gt;Assumptions!$F$8,C$6&lt;Assumptions!$F$9),1,0)</f>
        <v/>
      </c>
      <c r="D12" s="21">
        <f>IF(AND(D$6&gt;Assumptions!$F$8,D$6&lt;Assumptions!$F$9),1,0)</f>
        <v/>
      </c>
      <c r="E12" s="21">
        <f>IF(AND(E$6&gt;Assumptions!$F$8,E$6&lt;Assumptions!$F$9),1,0)</f>
        <v/>
      </c>
      <c r="F12" s="21">
        <f>IF(AND(F$6&gt;Assumptions!$F$8,F$6&lt;Assumptions!$F$9),1,0)</f>
        <v/>
      </c>
      <c r="G12" s="21">
        <f>IF(AND(G$6&gt;Assumptions!$F$8,G$6&lt;Assumptions!$F$9),1,0)</f>
        <v/>
      </c>
      <c r="H12" s="21">
        <f>IF(AND(H$6&gt;Assumptions!$F$8,H$6&lt;Assumptions!$F$9),1,0)</f>
        <v/>
      </c>
      <c r="I12" s="21">
        <f>IF(AND(I$6&gt;Assumptions!$F$8,I$6&lt;Assumptions!$F$9),1,0)</f>
        <v/>
      </c>
      <c r="J12" s="21">
        <f>IF(AND(J$6&gt;Assumptions!$F$8,J$6&lt;Assumptions!$F$9),1,0)</f>
        <v/>
      </c>
      <c r="K12" s="21">
        <f>IF(AND(K$6&gt;Assumptions!$F$8,K$6&lt;Assumptions!$F$9),1,0)</f>
        <v/>
      </c>
      <c r="L12" s="53">
        <f>IF(AND(L$6&gt;Assumptions!$F$8,L$6&lt;Assumptions!$F$9),1,0)</f>
        <v/>
      </c>
    </row>
    <row r="13">
      <c r="A13" s="37" t="inlineStr">
        <is>
          <t>Land owned (1 = yes)</t>
        </is>
      </c>
      <c r="B13" s="21">
        <f>IF(B$6&gt;=Assumptions!$F$8,1,0)</f>
        <v/>
      </c>
      <c r="C13" s="21">
        <f>IF(C$6&gt;=Assumptions!$F$8,1,0)</f>
        <v/>
      </c>
      <c r="D13" s="21">
        <f>IF(D$6&gt;=Assumptions!$F$8,1,0)</f>
        <v/>
      </c>
      <c r="E13" s="21">
        <f>IF(E$6&gt;=Assumptions!$F$8,1,0)</f>
        <v/>
      </c>
      <c r="F13" s="21">
        <f>IF(F$6&gt;=Assumptions!$F$8,1,0)</f>
        <v/>
      </c>
      <c r="G13" s="21">
        <f>IF(G$6&gt;=Assumptions!$F$8,1,0)</f>
        <v/>
      </c>
      <c r="H13" s="21">
        <f>IF(H$6&gt;=Assumptions!$F$8,1,0)</f>
        <v/>
      </c>
      <c r="I13" s="21">
        <f>IF(I$6&gt;=Assumptions!$F$8,1,0)</f>
        <v/>
      </c>
      <c r="J13" s="21">
        <f>IF(J$6&gt;=Assumptions!$F$8,1,0)</f>
        <v/>
      </c>
      <c r="K13" s="21">
        <f>IF(K$6&gt;=Assumptions!$F$8,1,0)</f>
        <v/>
      </c>
      <c r="L13" s="53">
        <f>IF(L$6&gt;=Assumptions!$F$8,1,0)</f>
        <v/>
      </c>
    </row>
    <row r="14">
      <c r="A14" s="37" t="inlineStr">
        <is>
          <t>Demand ramp</t>
        </is>
      </c>
      <c r="B14" s="55">
        <f>IF(B$7&lt;1,0,INDEX(Assumptions!$F$147:$F$150,MIN(B$7,4)))</f>
        <v/>
      </c>
      <c r="C14" s="55">
        <f>IF(C$7&lt;1,0,INDEX(Assumptions!$F$147:$F$150,MIN(C$7,4)))</f>
        <v/>
      </c>
      <c r="D14" s="55">
        <f>IF(D$7&lt;1,0,INDEX(Assumptions!$F$147:$F$150,MIN(D$7,4)))</f>
        <v/>
      </c>
      <c r="E14" s="55">
        <f>IF(E$7&lt;1,0,INDEX(Assumptions!$F$147:$F$150,MIN(E$7,4)))</f>
        <v/>
      </c>
      <c r="F14" s="55">
        <f>IF(F$7&lt;1,0,INDEX(Assumptions!$F$147:$F$150,MIN(F$7,4)))</f>
        <v/>
      </c>
      <c r="G14" s="55">
        <f>IF(G$7&lt;1,0,INDEX(Assumptions!$F$147:$F$150,MIN(G$7,4)))</f>
        <v/>
      </c>
      <c r="H14" s="55">
        <f>IF(H$7&lt;1,0,INDEX(Assumptions!$F$147:$F$150,MIN(H$7,4)))</f>
        <v/>
      </c>
      <c r="I14" s="55">
        <f>IF(I$7&lt;1,0,INDEX(Assumptions!$F$147:$F$150,MIN(I$7,4)))</f>
        <v/>
      </c>
      <c r="J14" s="55">
        <f>IF(J$7&lt;1,0,INDEX(Assumptions!$F$147:$F$150,MIN(J$7,4)))</f>
        <v/>
      </c>
      <c r="K14" s="55">
        <f>IF(K$7&lt;1,0,INDEX(Assumptions!$F$147:$F$150,MIN(K$7,4)))</f>
        <v/>
      </c>
      <c r="L14" s="56">
        <f>IF(L$7&lt;1,0,INDEX(Assumptions!$F$147:$F$150,MIN(L$7,4)))</f>
        <v/>
      </c>
    </row>
    <row r="15">
      <c r="A15" s="37" t="inlineStr">
        <is>
          <t>Contributed income ramp</t>
        </is>
      </c>
      <c r="B15" s="55">
        <f>IF(B$7&lt;1,B$13*Assumptions!$F$151,INDEX(Assumptions!$F$152:$F$155,MIN(B$7,4)))</f>
        <v/>
      </c>
      <c r="C15" s="55">
        <f>IF(C$7&lt;1,C$13*Assumptions!$F$151,INDEX(Assumptions!$F$152:$F$155,MIN(C$7,4)))</f>
        <v/>
      </c>
      <c r="D15" s="55">
        <f>IF(D$7&lt;1,D$13*Assumptions!$F$151,INDEX(Assumptions!$F$152:$F$155,MIN(D$7,4)))</f>
        <v/>
      </c>
      <c r="E15" s="55">
        <f>IF(E$7&lt;1,E$13*Assumptions!$F$151,INDEX(Assumptions!$F$152:$F$155,MIN(E$7,4)))</f>
        <v/>
      </c>
      <c r="F15" s="55">
        <f>IF(F$7&lt;1,F$13*Assumptions!$F$151,INDEX(Assumptions!$F$152:$F$155,MIN(F$7,4)))</f>
        <v/>
      </c>
      <c r="G15" s="55">
        <f>IF(G$7&lt;1,G$13*Assumptions!$F$151,INDEX(Assumptions!$F$152:$F$155,MIN(G$7,4)))</f>
        <v/>
      </c>
      <c r="H15" s="55">
        <f>IF(H$7&lt;1,H$13*Assumptions!$F$151,INDEX(Assumptions!$F$152:$F$155,MIN(H$7,4)))</f>
        <v/>
      </c>
      <c r="I15" s="55">
        <f>IF(I$7&lt;1,I$13*Assumptions!$F$151,INDEX(Assumptions!$F$152:$F$155,MIN(I$7,4)))</f>
        <v/>
      </c>
      <c r="J15" s="55">
        <f>IF(J$7&lt;1,J$13*Assumptions!$F$151,INDEX(Assumptions!$F$152:$F$155,MIN(J$7,4)))</f>
        <v/>
      </c>
      <c r="K15" s="55">
        <f>IF(K$7&lt;1,K$13*Assumptions!$F$151,INDEX(Assumptions!$F$152:$F$155,MIN(K$7,4)))</f>
        <v/>
      </c>
      <c r="L15" s="56">
        <f>IF(L$7&lt;1,L$13*Assumptions!$F$151,INDEX(Assumptions!$F$152:$F$155,MIN(L$7,4)))</f>
        <v/>
      </c>
    </row>
    <row r="16">
      <c r="A16" s="37" t="inlineStr">
        <is>
          <t>Studio ramp (years since Phase 2 opening)</t>
        </is>
      </c>
      <c r="B16" s="55">
        <f>IF(B$6&lt;Assumptions!$F$10,0,INDEX(Assumptions!$F$147:$F$150,MIN(B$6-Assumptions!$F$10+1,4)))</f>
        <v/>
      </c>
      <c r="C16" s="55">
        <f>IF(C$6&lt;Assumptions!$F$10,0,INDEX(Assumptions!$F$147:$F$150,MIN(C$6-Assumptions!$F$10+1,4)))</f>
        <v/>
      </c>
      <c r="D16" s="55">
        <f>IF(D$6&lt;Assumptions!$F$10,0,INDEX(Assumptions!$F$147:$F$150,MIN(D$6-Assumptions!$F$10+1,4)))</f>
        <v/>
      </c>
      <c r="E16" s="55">
        <f>IF(E$6&lt;Assumptions!$F$10,0,INDEX(Assumptions!$F$147:$F$150,MIN(E$6-Assumptions!$F$10+1,4)))</f>
        <v/>
      </c>
      <c r="F16" s="55">
        <f>IF(F$6&lt;Assumptions!$F$10,0,INDEX(Assumptions!$F$147:$F$150,MIN(F$6-Assumptions!$F$10+1,4)))</f>
        <v/>
      </c>
      <c r="G16" s="55">
        <f>IF(G$6&lt;Assumptions!$F$10,0,INDEX(Assumptions!$F$147:$F$150,MIN(G$6-Assumptions!$F$10+1,4)))</f>
        <v/>
      </c>
      <c r="H16" s="55">
        <f>IF(H$6&lt;Assumptions!$F$10,0,INDEX(Assumptions!$F$147:$F$150,MIN(H$6-Assumptions!$F$10+1,4)))</f>
        <v/>
      </c>
      <c r="I16" s="55">
        <f>IF(I$6&lt;Assumptions!$F$10,0,INDEX(Assumptions!$F$147:$F$150,MIN(I$6-Assumptions!$F$10+1,4)))</f>
        <v/>
      </c>
      <c r="J16" s="55">
        <f>IF(J$6&lt;Assumptions!$F$10,0,INDEX(Assumptions!$F$147:$F$150,MIN(J$6-Assumptions!$F$10+1,4)))</f>
        <v/>
      </c>
      <c r="K16" s="55">
        <f>IF(K$6&lt;Assumptions!$F$10,0,INDEX(Assumptions!$F$147:$F$150,MIN(K$6-Assumptions!$F$10+1,4)))</f>
        <v/>
      </c>
      <c r="L16" s="56">
        <f>IF(L$6&lt;Assumptions!$F$10,0,INDEX(Assumptions!$F$147:$F$150,MIN(L$6-Assumptions!$F$10+1,4)))</f>
        <v/>
      </c>
    </row>
    <row r="17">
      <c r="A17" s="37" t="inlineStr">
        <is>
          <t>Gallery ramp (years since Phase 3 opening)</t>
        </is>
      </c>
      <c r="B17" s="55">
        <f>IF(B$6&lt;Assumptions!$F$11,0,INDEX(Assumptions!$F$147:$F$150,MIN(B$6-Assumptions!$F$11+1,4)))</f>
        <v/>
      </c>
      <c r="C17" s="55">
        <f>IF(C$6&lt;Assumptions!$F$11,0,INDEX(Assumptions!$F$147:$F$150,MIN(C$6-Assumptions!$F$11+1,4)))</f>
        <v/>
      </c>
      <c r="D17" s="55">
        <f>IF(D$6&lt;Assumptions!$F$11,0,INDEX(Assumptions!$F$147:$F$150,MIN(D$6-Assumptions!$F$11+1,4)))</f>
        <v/>
      </c>
      <c r="E17" s="55">
        <f>IF(E$6&lt;Assumptions!$F$11,0,INDEX(Assumptions!$F$147:$F$150,MIN(E$6-Assumptions!$F$11+1,4)))</f>
        <v/>
      </c>
      <c r="F17" s="55">
        <f>IF(F$6&lt;Assumptions!$F$11,0,INDEX(Assumptions!$F$147:$F$150,MIN(F$6-Assumptions!$F$11+1,4)))</f>
        <v/>
      </c>
      <c r="G17" s="55">
        <f>IF(G$6&lt;Assumptions!$F$11,0,INDEX(Assumptions!$F$147:$F$150,MIN(G$6-Assumptions!$F$11+1,4)))</f>
        <v/>
      </c>
      <c r="H17" s="55">
        <f>IF(H$6&lt;Assumptions!$F$11,0,INDEX(Assumptions!$F$147:$F$150,MIN(H$6-Assumptions!$F$11+1,4)))</f>
        <v/>
      </c>
      <c r="I17" s="55">
        <f>IF(I$6&lt;Assumptions!$F$11,0,INDEX(Assumptions!$F$147:$F$150,MIN(I$6-Assumptions!$F$11+1,4)))</f>
        <v/>
      </c>
      <c r="J17" s="55">
        <f>IF(J$6&lt;Assumptions!$F$11,0,INDEX(Assumptions!$F$147:$F$150,MIN(J$6-Assumptions!$F$11+1,4)))</f>
        <v/>
      </c>
      <c r="K17" s="55">
        <f>IF(K$6&lt;Assumptions!$F$11,0,INDEX(Assumptions!$F$147:$F$150,MIN(K$6-Assumptions!$F$11+1,4)))</f>
        <v/>
      </c>
      <c r="L17" s="56">
        <f>IF(L$6&lt;Assumptions!$F$11,0,INDEX(Assumptions!$F$147:$F$150,MIN(L$6-Assumptions!$F$11+1,4)))</f>
        <v/>
      </c>
    </row>
    <row r="18">
      <c r="A18" s="37" t="inlineStr">
        <is>
          <t>Price index (1 = 2026 dollars)</t>
        </is>
      </c>
      <c r="B18" s="57">
        <f>IF(B$6&gt;3000,1,(1+Assumptions!$F$189)^(B$6-2026))</f>
        <v/>
      </c>
      <c r="C18" s="57">
        <f>IF(C$6&gt;3000,1,(1+Assumptions!$F$189)^(C$6-2026))</f>
        <v/>
      </c>
      <c r="D18" s="57">
        <f>IF(D$6&gt;3000,1,(1+Assumptions!$F$189)^(D$6-2026))</f>
        <v/>
      </c>
      <c r="E18" s="57">
        <f>IF(E$6&gt;3000,1,(1+Assumptions!$F$189)^(E$6-2026))</f>
        <v/>
      </c>
      <c r="F18" s="57">
        <f>IF(F$6&gt;3000,1,(1+Assumptions!$F$189)^(F$6-2026))</f>
        <v/>
      </c>
      <c r="G18" s="57">
        <f>IF(G$6&gt;3000,1,(1+Assumptions!$F$189)^(G$6-2026))</f>
        <v/>
      </c>
      <c r="H18" s="57">
        <f>IF(H$6&gt;3000,1,(1+Assumptions!$F$189)^(H$6-2026))</f>
        <v/>
      </c>
      <c r="I18" s="57">
        <f>IF(I$6&gt;3000,1,(1+Assumptions!$F$189)^(I$6-2026))</f>
        <v/>
      </c>
      <c r="J18" s="57">
        <f>IF(J$6&gt;3000,1,(1+Assumptions!$F$189)^(J$6-2026))</f>
        <v/>
      </c>
      <c r="K18" s="57">
        <f>IF(K$6&gt;3000,1,(1+Assumptions!$F$189)^(K$6-2026))</f>
        <v/>
      </c>
      <c r="L18" s="58">
        <f>IF(L$6&gt;3000,1,(1+Assumptions!$F$189)^(L$6-2026))</f>
        <v/>
      </c>
    </row>
    <row r="19">
      <c r="A19" s="37" t="inlineStr">
        <is>
          <t>Cabins in service (year-weighted)</t>
        </is>
      </c>
      <c r="B19" s="59">
        <f>Assumptions!$F$17*B$8+(Assumptions!$F$16-Assumptions!$F$17)*B$9</f>
        <v/>
      </c>
      <c r="C19" s="59">
        <f>Assumptions!$F$17*C$8+(Assumptions!$F$16-Assumptions!$F$17)*C$9</f>
        <v/>
      </c>
      <c r="D19" s="59">
        <f>Assumptions!$F$17*D$8+(Assumptions!$F$16-Assumptions!$F$17)*D$9</f>
        <v/>
      </c>
      <c r="E19" s="59">
        <f>Assumptions!$F$17*E$8+(Assumptions!$F$16-Assumptions!$F$17)*E$9</f>
        <v/>
      </c>
      <c r="F19" s="59">
        <f>Assumptions!$F$17*F$8+(Assumptions!$F$16-Assumptions!$F$17)*F$9</f>
        <v/>
      </c>
      <c r="G19" s="59">
        <f>Assumptions!$F$17*G$8+(Assumptions!$F$16-Assumptions!$F$17)*G$9</f>
        <v/>
      </c>
      <c r="H19" s="59">
        <f>Assumptions!$F$17*H$8+(Assumptions!$F$16-Assumptions!$F$17)*H$9</f>
        <v/>
      </c>
      <c r="I19" s="59">
        <f>Assumptions!$F$17*I$8+(Assumptions!$F$16-Assumptions!$F$17)*I$9</f>
        <v/>
      </c>
      <c r="J19" s="59">
        <f>Assumptions!$F$17*J$8+(Assumptions!$F$16-Assumptions!$F$17)*J$9</f>
        <v/>
      </c>
      <c r="K19" s="59">
        <f>Assumptions!$F$17*K$8+(Assumptions!$F$16-Assumptions!$F$17)*K$9</f>
        <v/>
      </c>
      <c r="L19" s="60">
        <f>Assumptions!$F$17*L$8+(Assumptions!$F$16-Assumptions!$F$17)*L$9</f>
        <v/>
      </c>
    </row>
    <row r="20">
      <c r="A20" s="37" t="inlineStr">
        <is>
          <t>Cabins installed</t>
        </is>
      </c>
      <c r="B20" s="21">
        <f>Assumptions!$F$17*(B$8&gt;0)+(Assumptions!$F$16-Assumptions!$F$17)*(B$9&gt;0)</f>
        <v/>
      </c>
      <c r="C20" s="21">
        <f>Assumptions!$F$17*(C$8&gt;0)+(Assumptions!$F$16-Assumptions!$F$17)*(C$9&gt;0)</f>
        <v/>
      </c>
      <c r="D20" s="21">
        <f>Assumptions!$F$17*(D$8&gt;0)+(Assumptions!$F$16-Assumptions!$F$17)*(D$9&gt;0)</f>
        <v/>
      </c>
      <c r="E20" s="21">
        <f>Assumptions!$F$17*(E$8&gt;0)+(Assumptions!$F$16-Assumptions!$F$17)*(E$9&gt;0)</f>
        <v/>
      </c>
      <c r="F20" s="21">
        <f>Assumptions!$F$17*(F$8&gt;0)+(Assumptions!$F$16-Assumptions!$F$17)*(F$9&gt;0)</f>
        <v/>
      </c>
      <c r="G20" s="21">
        <f>Assumptions!$F$17*(G$8&gt;0)+(Assumptions!$F$16-Assumptions!$F$17)*(G$9&gt;0)</f>
        <v/>
      </c>
      <c r="H20" s="21">
        <f>Assumptions!$F$17*(H$8&gt;0)+(Assumptions!$F$16-Assumptions!$F$17)*(H$9&gt;0)</f>
        <v/>
      </c>
      <c r="I20" s="21">
        <f>Assumptions!$F$17*(I$8&gt;0)+(Assumptions!$F$16-Assumptions!$F$17)*(I$9&gt;0)</f>
        <v/>
      </c>
      <c r="J20" s="21">
        <f>Assumptions!$F$17*(J$8&gt;0)+(Assumptions!$F$16-Assumptions!$F$17)*(J$9&gt;0)</f>
        <v/>
      </c>
      <c r="K20" s="21">
        <f>Assumptions!$F$17*(K$8&gt;0)+(Assumptions!$F$16-Assumptions!$F$17)*(K$9&gt;0)</f>
        <v/>
      </c>
      <c r="L20" s="53">
        <f>Assumptions!$F$17*(L$8&gt;0)+(Assumptions!$F$16-Assumptions!$F$17)*(L$9&gt;0)</f>
        <v/>
      </c>
    </row>
    <row r="21">
      <c r="A21" s="37" t="inlineStr">
        <is>
          <t>Available cabin nights</t>
        </is>
      </c>
      <c r="B21" s="21">
        <f>B$19*Assumptions!$F$98</f>
        <v/>
      </c>
      <c r="C21" s="21">
        <f>C$19*Assumptions!$F$98</f>
        <v/>
      </c>
      <c r="D21" s="21">
        <f>D$19*Assumptions!$F$98</f>
        <v/>
      </c>
      <c r="E21" s="21">
        <f>E$19*Assumptions!$F$98</f>
        <v/>
      </c>
      <c r="F21" s="21">
        <f>F$19*Assumptions!$F$98</f>
        <v/>
      </c>
      <c r="G21" s="21">
        <f>G$19*Assumptions!$F$98</f>
        <v/>
      </c>
      <c r="H21" s="21">
        <f>H$19*Assumptions!$F$98</f>
        <v/>
      </c>
      <c r="I21" s="21">
        <f>I$19*Assumptions!$F$98</f>
        <v/>
      </c>
      <c r="J21" s="21">
        <f>J$19*Assumptions!$F$98</f>
        <v/>
      </c>
      <c r="K21" s="21">
        <f>K$19*Assumptions!$F$98</f>
        <v/>
      </c>
      <c r="L21" s="53">
        <f>L$19*Assumptions!$F$98</f>
        <v/>
      </c>
      <c r="M21" s="21">
        <f>SUM(B21:K21)</f>
        <v/>
      </c>
    </row>
    <row r="22">
      <c r="A22" s="37" t="inlineStr">
        <is>
          <t>Residencies</t>
        </is>
      </c>
      <c r="B22" s="59">
        <f>Assumptions!$F$105*B$14*B$8</f>
        <v/>
      </c>
      <c r="C22" s="59">
        <f>Assumptions!$F$105*C$14*C$8</f>
        <v/>
      </c>
      <c r="D22" s="59">
        <f>Assumptions!$F$105*D$14*D$8</f>
        <v/>
      </c>
      <c r="E22" s="59">
        <f>Assumptions!$F$105*E$14*E$8</f>
        <v/>
      </c>
      <c r="F22" s="59">
        <f>Assumptions!$F$105*F$14*F$8</f>
        <v/>
      </c>
      <c r="G22" s="59">
        <f>Assumptions!$F$105*G$14*G$8</f>
        <v/>
      </c>
      <c r="H22" s="59">
        <f>Assumptions!$F$105*H$14*H$8</f>
        <v/>
      </c>
      <c r="I22" s="59">
        <f>Assumptions!$F$105*I$14*I$8</f>
        <v/>
      </c>
      <c r="J22" s="59">
        <f>Assumptions!$F$105*J$14*J$8</f>
        <v/>
      </c>
      <c r="K22" s="59">
        <f>Assumptions!$F$105*K$14*K$8</f>
        <v/>
      </c>
      <c r="L22" s="60">
        <f>Assumptions!$F$105*L$14*L$8</f>
        <v/>
      </c>
      <c r="M22" s="59">
        <f>SUM(B22:K22)</f>
        <v/>
      </c>
    </row>
    <row r="23">
      <c r="A23" s="37" t="inlineStr">
        <is>
          <t>Residency cabin nights (no charge)</t>
        </is>
      </c>
      <c r="B23" s="21">
        <f>B$22*Assumptions!$F$106*Assumptions!$F$107</f>
        <v/>
      </c>
      <c r="C23" s="21">
        <f>C$22*Assumptions!$F$106*Assumptions!$F$107</f>
        <v/>
      </c>
      <c r="D23" s="21">
        <f>D$22*Assumptions!$F$106*Assumptions!$F$107</f>
        <v/>
      </c>
      <c r="E23" s="21">
        <f>E$22*Assumptions!$F$106*Assumptions!$F$107</f>
        <v/>
      </c>
      <c r="F23" s="21">
        <f>F$22*Assumptions!$F$106*Assumptions!$F$107</f>
        <v/>
      </c>
      <c r="G23" s="21">
        <f>G$22*Assumptions!$F$106*Assumptions!$F$107</f>
        <v/>
      </c>
      <c r="H23" s="21">
        <f>H$22*Assumptions!$F$106*Assumptions!$F$107</f>
        <v/>
      </c>
      <c r="I23" s="21">
        <f>I$22*Assumptions!$F$106*Assumptions!$F$107</f>
        <v/>
      </c>
      <c r="J23" s="21">
        <f>J$22*Assumptions!$F$106*Assumptions!$F$107</f>
        <v/>
      </c>
      <c r="K23" s="21">
        <f>K$22*Assumptions!$F$106*Assumptions!$F$107</f>
        <v/>
      </c>
      <c r="L23" s="53">
        <f>L$22*Assumptions!$F$106*Assumptions!$F$107</f>
        <v/>
      </c>
      <c r="M23" s="21">
        <f>SUM(B23:K23)</f>
        <v/>
      </c>
    </row>
    <row r="24">
      <c r="A24" s="37" t="inlineStr">
        <is>
          <t>Retreats</t>
        </is>
      </c>
      <c r="B24" s="59">
        <f>Assumptions!$F$110*B$14*B$8</f>
        <v/>
      </c>
      <c r="C24" s="59">
        <f>Assumptions!$F$110*C$14*C$8</f>
        <v/>
      </c>
      <c r="D24" s="59">
        <f>Assumptions!$F$110*D$14*D$8</f>
        <v/>
      </c>
      <c r="E24" s="59">
        <f>Assumptions!$F$110*E$14*E$8</f>
        <v/>
      </c>
      <c r="F24" s="59">
        <f>Assumptions!$F$110*F$14*F$8</f>
        <v/>
      </c>
      <c r="G24" s="59">
        <f>Assumptions!$F$110*G$14*G$8</f>
        <v/>
      </c>
      <c r="H24" s="59">
        <f>Assumptions!$F$110*H$14*H$8</f>
        <v/>
      </c>
      <c r="I24" s="59">
        <f>Assumptions!$F$110*I$14*I$8</f>
        <v/>
      </c>
      <c r="J24" s="59">
        <f>Assumptions!$F$110*J$14*J$8</f>
        <v/>
      </c>
      <c r="K24" s="59">
        <f>Assumptions!$F$110*K$14*K$8</f>
        <v/>
      </c>
      <c r="L24" s="60">
        <f>Assumptions!$F$110*L$14*L$8</f>
        <v/>
      </c>
      <c r="M24" s="59">
        <f>SUM(B24:K24)</f>
        <v/>
      </c>
    </row>
    <row r="25">
      <c r="A25" s="37" t="inlineStr">
        <is>
          <t>Guests per retreat (capped at beds installed)</t>
        </is>
      </c>
      <c r="B25" s="21">
        <f>MIN(Assumptions!$F$111,Assumptions!$F$18*B$20)</f>
        <v/>
      </c>
      <c r="C25" s="21">
        <f>MIN(Assumptions!$F$111,Assumptions!$F$18*C$20)</f>
        <v/>
      </c>
      <c r="D25" s="21">
        <f>MIN(Assumptions!$F$111,Assumptions!$F$18*D$20)</f>
        <v/>
      </c>
      <c r="E25" s="21">
        <f>MIN(Assumptions!$F$111,Assumptions!$F$18*E$20)</f>
        <v/>
      </c>
      <c r="F25" s="21">
        <f>MIN(Assumptions!$F$111,Assumptions!$F$18*F$20)</f>
        <v/>
      </c>
      <c r="G25" s="21">
        <f>MIN(Assumptions!$F$111,Assumptions!$F$18*G$20)</f>
        <v/>
      </c>
      <c r="H25" s="21">
        <f>MIN(Assumptions!$F$111,Assumptions!$F$18*H$20)</f>
        <v/>
      </c>
      <c r="I25" s="21">
        <f>MIN(Assumptions!$F$111,Assumptions!$F$18*I$20)</f>
        <v/>
      </c>
      <c r="J25" s="21">
        <f>MIN(Assumptions!$F$111,Assumptions!$F$18*J$20)</f>
        <v/>
      </c>
      <c r="K25" s="21">
        <f>MIN(Assumptions!$F$111,Assumptions!$F$18*K$20)</f>
        <v/>
      </c>
      <c r="L25" s="53">
        <f>MIN(Assumptions!$F$111,Assumptions!$F$18*L$20)</f>
        <v/>
      </c>
      <c r="N25" s="54" t="inlineStr">
        <is>
          <t>Capped at beds installed (24 with 12 cabins)</t>
        </is>
      </c>
    </row>
    <row r="26">
      <c r="A26" s="37" t="inlineStr">
        <is>
          <t>Retreat guest-nights (one night per day on site)</t>
        </is>
      </c>
      <c r="B26" s="21">
        <f>B$24*B$25*Assumptions!$F$112</f>
        <v/>
      </c>
      <c r="C26" s="21">
        <f>C$24*C$25*Assumptions!$F$112</f>
        <v/>
      </c>
      <c r="D26" s="21">
        <f>D$24*D$25*Assumptions!$F$112</f>
        <v/>
      </c>
      <c r="E26" s="21">
        <f>E$24*E$25*Assumptions!$F$112</f>
        <v/>
      </c>
      <c r="F26" s="21">
        <f>F$24*F$25*Assumptions!$F$112</f>
        <v/>
      </c>
      <c r="G26" s="21">
        <f>G$24*G$25*Assumptions!$F$112</f>
        <v/>
      </c>
      <c r="H26" s="21">
        <f>H$24*H$25*Assumptions!$F$112</f>
        <v/>
      </c>
      <c r="I26" s="21">
        <f>I$24*I$25*Assumptions!$F$112</f>
        <v/>
      </c>
      <c r="J26" s="21">
        <f>J$24*J$25*Assumptions!$F$112</f>
        <v/>
      </c>
      <c r="K26" s="21">
        <f>K$24*K$25*Assumptions!$F$112</f>
        <v/>
      </c>
      <c r="L26" s="53">
        <f>L$24*L$25*Assumptions!$F$112</f>
        <v/>
      </c>
      <c r="M26" s="21">
        <f>SUM(B26:K26)</f>
        <v/>
      </c>
    </row>
    <row r="27">
      <c r="A27" s="37" t="inlineStr">
        <is>
          <t>Program weekends</t>
        </is>
      </c>
      <c r="B27" s="59">
        <f>Assumptions!$F$114*B$14*B$8</f>
        <v/>
      </c>
      <c r="C27" s="59">
        <f>Assumptions!$F$114*C$14*C$8</f>
        <v/>
      </c>
      <c r="D27" s="59">
        <f>Assumptions!$F$114*D$14*D$8</f>
        <v/>
      </c>
      <c r="E27" s="59">
        <f>Assumptions!$F$114*E$14*E$8</f>
        <v/>
      </c>
      <c r="F27" s="59">
        <f>Assumptions!$F$114*F$14*F$8</f>
        <v/>
      </c>
      <c r="G27" s="59">
        <f>Assumptions!$F$114*G$14*G$8</f>
        <v/>
      </c>
      <c r="H27" s="59">
        <f>Assumptions!$F$114*H$14*H$8</f>
        <v/>
      </c>
      <c r="I27" s="59">
        <f>Assumptions!$F$114*I$14*I$8</f>
        <v/>
      </c>
      <c r="J27" s="59">
        <f>Assumptions!$F$114*J$14*J$8</f>
        <v/>
      </c>
      <c r="K27" s="59">
        <f>Assumptions!$F$114*K$14*K$8</f>
        <v/>
      </c>
      <c r="L27" s="60">
        <f>Assumptions!$F$114*L$14*L$8</f>
        <v/>
      </c>
      <c r="M27" s="59">
        <f>SUM(B27:K27)</f>
        <v/>
      </c>
    </row>
    <row r="28">
      <c r="A28" s="37" t="inlineStr">
        <is>
          <t>Guests per program weekend (capped at beds installed)</t>
        </is>
      </c>
      <c r="B28" s="21">
        <f>MIN(Assumptions!$F$115,Assumptions!$F$18*B$20)</f>
        <v/>
      </c>
      <c r="C28" s="21">
        <f>MIN(Assumptions!$F$115,Assumptions!$F$18*C$20)</f>
        <v/>
      </c>
      <c r="D28" s="21">
        <f>MIN(Assumptions!$F$115,Assumptions!$F$18*D$20)</f>
        <v/>
      </c>
      <c r="E28" s="21">
        <f>MIN(Assumptions!$F$115,Assumptions!$F$18*E$20)</f>
        <v/>
      </c>
      <c r="F28" s="21">
        <f>MIN(Assumptions!$F$115,Assumptions!$F$18*F$20)</f>
        <v/>
      </c>
      <c r="G28" s="21">
        <f>MIN(Assumptions!$F$115,Assumptions!$F$18*G$20)</f>
        <v/>
      </c>
      <c r="H28" s="21">
        <f>MIN(Assumptions!$F$115,Assumptions!$F$18*H$20)</f>
        <v/>
      </c>
      <c r="I28" s="21">
        <f>MIN(Assumptions!$F$115,Assumptions!$F$18*I$20)</f>
        <v/>
      </c>
      <c r="J28" s="21">
        <f>MIN(Assumptions!$F$115,Assumptions!$F$18*J$20)</f>
        <v/>
      </c>
      <c r="K28" s="21">
        <f>MIN(Assumptions!$F$115,Assumptions!$F$18*K$20)</f>
        <v/>
      </c>
      <c r="L28" s="53">
        <f>MIN(Assumptions!$F$115,Assumptions!$F$18*L$20)</f>
        <v/>
      </c>
    </row>
    <row r="29">
      <c r="A29" s="37" t="inlineStr">
        <is>
          <t>Full-site takeovers</t>
        </is>
      </c>
      <c r="B29" s="59">
        <f>Assumptions!$F$118*B$14*B$8</f>
        <v/>
      </c>
      <c r="C29" s="59">
        <f>Assumptions!$F$118*C$14*C$8</f>
        <v/>
      </c>
      <c r="D29" s="59">
        <f>Assumptions!$F$118*D$14*D$8</f>
        <v/>
      </c>
      <c r="E29" s="59">
        <f>Assumptions!$F$118*E$14*E$8</f>
        <v/>
      </c>
      <c r="F29" s="59">
        <f>Assumptions!$F$118*F$14*F$8</f>
        <v/>
      </c>
      <c r="G29" s="59">
        <f>Assumptions!$F$118*G$14*G$8</f>
        <v/>
      </c>
      <c r="H29" s="59">
        <f>Assumptions!$F$118*H$14*H$8</f>
        <v/>
      </c>
      <c r="I29" s="59">
        <f>Assumptions!$F$118*I$14*I$8</f>
        <v/>
      </c>
      <c r="J29" s="59">
        <f>Assumptions!$F$118*J$14*J$8</f>
        <v/>
      </c>
      <c r="K29" s="59">
        <f>Assumptions!$F$118*K$14*K$8</f>
        <v/>
      </c>
      <c r="L29" s="60">
        <f>Assumptions!$F$118*L$14*L$8</f>
        <v/>
      </c>
      <c r="M29" s="59">
        <f>SUM(B29:K29)</f>
        <v/>
      </c>
    </row>
    <row r="30">
      <c r="A30" s="37" t="inlineStr">
        <is>
          <t>Performances</t>
        </is>
      </c>
      <c r="B30" s="59">
        <f>Assumptions!$F$123*B$14*B$8</f>
        <v/>
      </c>
      <c r="C30" s="59">
        <f>Assumptions!$F$123*C$14*C$8</f>
        <v/>
      </c>
      <c r="D30" s="59">
        <f>Assumptions!$F$123*D$14*D$8</f>
        <v/>
      </c>
      <c r="E30" s="59">
        <f>Assumptions!$F$123*E$14*E$8</f>
        <v/>
      </c>
      <c r="F30" s="59">
        <f>Assumptions!$F$123*F$14*F$8</f>
        <v/>
      </c>
      <c r="G30" s="59">
        <f>Assumptions!$F$123*G$14*G$8</f>
        <v/>
      </c>
      <c r="H30" s="59">
        <f>Assumptions!$F$123*H$14*H$8</f>
        <v/>
      </c>
      <c r="I30" s="59">
        <f>Assumptions!$F$123*I$14*I$8</f>
        <v/>
      </c>
      <c r="J30" s="59">
        <f>Assumptions!$F$123*J$14*J$8</f>
        <v/>
      </c>
      <c r="K30" s="59">
        <f>Assumptions!$F$123*K$14*K$8</f>
        <v/>
      </c>
      <c r="L30" s="60">
        <f>Assumptions!$F$123*L$14*L$8</f>
        <v/>
      </c>
      <c r="M30" s="59">
        <f>SUM(B30:K30)</f>
        <v/>
      </c>
    </row>
    <row r="31">
      <c r="A31" s="37" t="inlineStr">
        <is>
          <t>Large events (performances + takeovers)</t>
        </is>
      </c>
      <c r="B31" s="59">
        <f>B$29+B$30</f>
        <v/>
      </c>
      <c r="C31" s="59">
        <f>C$29+C$30</f>
        <v/>
      </c>
      <c r="D31" s="59">
        <f>D$29+D$30</f>
        <v/>
      </c>
      <c r="E31" s="59">
        <f>E$29+E$30</f>
        <v/>
      </c>
      <c r="F31" s="59">
        <f>F$29+F$30</f>
        <v/>
      </c>
      <c r="G31" s="59">
        <f>G$29+G$30</f>
        <v/>
      </c>
      <c r="H31" s="59">
        <f>H$29+H$30</f>
        <v/>
      </c>
      <c r="I31" s="59">
        <f>I$29+I$30</f>
        <v/>
      </c>
      <c r="J31" s="59">
        <f>J$29+J$30</f>
        <v/>
      </c>
      <c r="K31" s="59">
        <f>K$29+K$30</f>
        <v/>
      </c>
      <c r="L31" s="60">
        <f>L$29+L$30</f>
        <v/>
      </c>
      <c r="M31" s="59">
        <f>SUM(B31:K31)</f>
        <v/>
      </c>
    </row>
    <row r="32">
      <c r="A32" s="37" t="inlineStr">
        <is>
          <t>Cabin nights: retreat guests (inside the all-in retreat price)</t>
        </is>
      </c>
      <c r="B32" s="21">
        <f>B$26/Assumptions!$F$101</f>
        <v/>
      </c>
      <c r="C32" s="21">
        <f>C$26/Assumptions!$F$101</f>
        <v/>
      </c>
      <c r="D32" s="21">
        <f>D$26/Assumptions!$F$101</f>
        <v/>
      </c>
      <c r="E32" s="21">
        <f>E$26/Assumptions!$F$101</f>
        <v/>
      </c>
      <c r="F32" s="21">
        <f>F$26/Assumptions!$F$101</f>
        <v/>
      </c>
      <c r="G32" s="21">
        <f>G$26/Assumptions!$F$101</f>
        <v/>
      </c>
      <c r="H32" s="21">
        <f>H$26/Assumptions!$F$101</f>
        <v/>
      </c>
      <c r="I32" s="21">
        <f>I$26/Assumptions!$F$101</f>
        <v/>
      </c>
      <c r="J32" s="21">
        <f>J$26/Assumptions!$F$101</f>
        <v/>
      </c>
      <c r="K32" s="21">
        <f>K$26/Assumptions!$F$101</f>
        <v/>
      </c>
      <c r="L32" s="53">
        <f>L$26/Assumptions!$F$101</f>
        <v/>
      </c>
      <c r="M32" s="21">
        <f>SUM(B32:K32)</f>
        <v/>
      </c>
      <c r="N32" s="54" t="inlineStr">
        <is>
          <t>Counted in occupancy, supplies and utilization; not billed again</t>
        </is>
      </c>
    </row>
    <row r="33">
      <c r="A33" s="37" t="inlineStr">
        <is>
          <t>Cabin nights billed: program weekend guests</t>
        </is>
      </c>
      <c r="B33" s="21">
        <f>B$27*B$28*Assumptions!$F$116/Assumptions!$F$101</f>
        <v/>
      </c>
      <c r="C33" s="21">
        <f>C$27*C$28*Assumptions!$F$116/Assumptions!$F$101</f>
        <v/>
      </c>
      <c r="D33" s="21">
        <f>D$27*D$28*Assumptions!$F$116/Assumptions!$F$101</f>
        <v/>
      </c>
      <c r="E33" s="21">
        <f>E$27*E$28*Assumptions!$F$116/Assumptions!$F$101</f>
        <v/>
      </c>
      <c r="F33" s="21">
        <f>F$27*F$28*Assumptions!$F$116/Assumptions!$F$101</f>
        <v/>
      </c>
      <c r="G33" s="21">
        <f>G$27*G$28*Assumptions!$F$116/Assumptions!$F$101</f>
        <v/>
      </c>
      <c r="H33" s="21">
        <f>H$27*H$28*Assumptions!$F$116/Assumptions!$F$101</f>
        <v/>
      </c>
      <c r="I33" s="21">
        <f>I$27*I$28*Assumptions!$F$116/Assumptions!$F$101</f>
        <v/>
      </c>
      <c r="J33" s="21">
        <f>J$27*J$28*Assumptions!$F$116/Assumptions!$F$101</f>
        <v/>
      </c>
      <c r="K33" s="21">
        <f>K$27*K$28*Assumptions!$F$116/Assumptions!$F$101</f>
        <v/>
      </c>
      <c r="L33" s="53">
        <f>L$27*L$28*Assumptions!$F$116/Assumptions!$F$101</f>
        <v/>
      </c>
      <c r="M33" s="21">
        <f>SUM(B33:K33)</f>
        <v/>
      </c>
    </row>
    <row r="34">
      <c r="A34" s="37" t="inlineStr">
        <is>
          <t>Cabin nights billed: takeovers (whole site)</t>
        </is>
      </c>
      <c r="B34" s="21">
        <f>B$29*B$20*Assumptions!$F$121</f>
        <v/>
      </c>
      <c r="C34" s="21">
        <f>C$29*C$20*Assumptions!$F$121</f>
        <v/>
      </c>
      <c r="D34" s="21">
        <f>D$29*D$20*Assumptions!$F$121</f>
        <v/>
      </c>
      <c r="E34" s="21">
        <f>E$29*E$20*Assumptions!$F$121</f>
        <v/>
      </c>
      <c r="F34" s="21">
        <f>F$29*F$20*Assumptions!$F$121</f>
        <v/>
      </c>
      <c r="G34" s="21">
        <f>G$29*G$20*Assumptions!$F$121</f>
        <v/>
      </c>
      <c r="H34" s="21">
        <f>H$29*H$20*Assumptions!$F$121</f>
        <v/>
      </c>
      <c r="I34" s="21">
        <f>I$29*I$20*Assumptions!$F$121</f>
        <v/>
      </c>
      <c r="J34" s="21">
        <f>J$29*J$20*Assumptions!$F$121</f>
        <v/>
      </c>
      <c r="K34" s="21">
        <f>K$29*K$20*Assumptions!$F$121</f>
        <v/>
      </c>
      <c r="L34" s="53">
        <f>L$29*L$20*Assumptions!$F$121</f>
        <v/>
      </c>
      <c r="M34" s="21">
        <f>SUM(B34:K34)</f>
        <v/>
      </c>
    </row>
    <row r="35">
      <c r="A35" s="37" t="inlineStr">
        <is>
          <t>Cabin nights billed: public stays (not allowed in the Ojai Valley)</t>
        </is>
      </c>
      <c r="B35" s="21">
        <f>B$21*Assumptions!$F$100</f>
        <v/>
      </c>
      <c r="C35" s="21">
        <f>C$21*Assumptions!$F$100</f>
        <v/>
      </c>
      <c r="D35" s="21">
        <f>D$21*Assumptions!$F$100</f>
        <v/>
      </c>
      <c r="E35" s="21">
        <f>E$21*Assumptions!$F$100</f>
        <v/>
      </c>
      <c r="F35" s="21">
        <f>F$21*Assumptions!$F$100</f>
        <v/>
      </c>
      <c r="G35" s="21">
        <f>G$21*Assumptions!$F$100</f>
        <v/>
      </c>
      <c r="H35" s="21">
        <f>H$21*Assumptions!$F$100</f>
        <v/>
      </c>
      <c r="I35" s="21">
        <f>I$21*Assumptions!$F$100</f>
        <v/>
      </c>
      <c r="J35" s="21">
        <f>J$21*Assumptions!$F$100</f>
        <v/>
      </c>
      <c r="K35" s="21">
        <f>K$21*Assumptions!$F$100</f>
        <v/>
      </c>
      <c r="L35" s="53">
        <f>L$21*Assumptions!$F$100</f>
        <v/>
      </c>
      <c r="M35" s="21">
        <f>SUM(B35:K35)</f>
        <v/>
      </c>
    </row>
    <row r="36">
      <c r="A36" s="37" t="inlineStr">
        <is>
          <t>Cabin nights billed at the nightly rate (weekends, takeovers)</t>
        </is>
      </c>
      <c r="B36" s="21">
        <f>B$33+B$34+B$35</f>
        <v/>
      </c>
      <c r="C36" s="21">
        <f>C$33+C$34+C$35</f>
        <v/>
      </c>
      <c r="D36" s="21">
        <f>D$33+D$34+D$35</f>
        <v/>
      </c>
      <c r="E36" s="21">
        <f>E$33+E$34+E$35</f>
        <v/>
      </c>
      <c r="F36" s="21">
        <f>F$33+F$34+F$35</f>
        <v/>
      </c>
      <c r="G36" s="21">
        <f>G$33+G$34+G$35</f>
        <v/>
      </c>
      <c r="H36" s="21">
        <f>H$33+H$34+H$35</f>
        <v/>
      </c>
      <c r="I36" s="21">
        <f>I$33+I$34+I$35</f>
        <v/>
      </c>
      <c r="J36" s="21">
        <f>J$33+J$34+J$35</f>
        <v/>
      </c>
      <c r="K36" s="21">
        <f>K$33+K$34+K$35</f>
        <v/>
      </c>
      <c r="L36" s="53">
        <f>L$33+L$34+L$35</f>
        <v/>
      </c>
      <c r="M36" s="21">
        <f>SUM(B36:K36)</f>
        <v/>
      </c>
    </row>
    <row r="37">
      <c r="A37" s="37" t="inlineStr">
        <is>
          <t>Paid cabin nights (program guests, incl. retreats)</t>
        </is>
      </c>
      <c r="B37" s="21">
        <f>B$32+B$36</f>
        <v/>
      </c>
      <c r="C37" s="21">
        <f>C$32+C$36</f>
        <v/>
      </c>
      <c r="D37" s="21">
        <f>D$32+D$36</f>
        <v/>
      </c>
      <c r="E37" s="21">
        <f>E$32+E$36</f>
        <v/>
      </c>
      <c r="F37" s="21">
        <f>F$32+F$36</f>
        <v/>
      </c>
      <c r="G37" s="21">
        <f>G$32+G$36</f>
        <v/>
      </c>
      <c r="H37" s="21">
        <f>H$32+H$36</f>
        <v/>
      </c>
      <c r="I37" s="21">
        <f>I$32+I$36</f>
        <v/>
      </c>
      <c r="J37" s="21">
        <f>J$32+J$36</f>
        <v/>
      </c>
      <c r="K37" s="21">
        <f>K$32+K$36</f>
        <v/>
      </c>
      <c r="L37" s="53">
        <f>L$32+L$36</f>
        <v/>
      </c>
      <c r="M37" s="21">
        <f>SUM(B37:K37)</f>
        <v/>
      </c>
    </row>
    <row r="38">
      <c r="A38" s="37" t="inlineStr">
        <is>
          <t>Paid occupancy (program guests)</t>
        </is>
      </c>
      <c r="B38" s="55">
        <f>IF(B$21&gt;0,B$37/B$21,0)</f>
        <v/>
      </c>
      <c r="C38" s="55">
        <f>IF(C$21&gt;0,C$37/C$21,0)</f>
        <v/>
      </c>
      <c r="D38" s="55">
        <f>IF(D$21&gt;0,D$37/D$21,0)</f>
        <v/>
      </c>
      <c r="E38" s="55">
        <f>IF(E$21&gt;0,E$37/E$21,0)</f>
        <v/>
      </c>
      <c r="F38" s="55">
        <f>IF(F$21&gt;0,F$37/F$21,0)</f>
        <v/>
      </c>
      <c r="G38" s="55">
        <f>IF(G$21&gt;0,G$37/G$21,0)</f>
        <v/>
      </c>
      <c r="H38" s="55">
        <f>IF(H$21&gt;0,H$37/H$21,0)</f>
        <v/>
      </c>
      <c r="I38" s="55">
        <f>IF(I$21&gt;0,I$37/I$21,0)</f>
        <v/>
      </c>
      <c r="J38" s="55">
        <f>IF(J$21&gt;0,J$37/J$21,0)</f>
        <v/>
      </c>
      <c r="K38" s="55">
        <f>IF(K$21&gt;0,K$37/K$21,0)</f>
        <v/>
      </c>
      <c r="L38" s="56">
        <f>IF(L$21&gt;0,L$37/L$21,0)</f>
        <v/>
      </c>
      <c r="N38" s="54" t="inlineStr">
        <is>
          <t>Program guests only, incl. retreats: no public short-term rentals (TRU overlay)</t>
        </is>
      </c>
    </row>
    <row r="39">
      <c r="A39" s="37" t="inlineStr">
        <is>
          <t>Occupied cabin nights (paid + residency)</t>
        </is>
      </c>
      <c r="B39" s="21">
        <f>B$37+B$23</f>
        <v/>
      </c>
      <c r="C39" s="21">
        <f>C$37+C$23</f>
        <v/>
      </c>
      <c r="D39" s="21">
        <f>D$37+D$23</f>
        <v/>
      </c>
      <c r="E39" s="21">
        <f>E$37+E$23</f>
        <v/>
      </c>
      <c r="F39" s="21">
        <f>F$37+F$23</f>
        <v/>
      </c>
      <c r="G39" s="21">
        <f>G$37+G$23</f>
        <v/>
      </c>
      <c r="H39" s="21">
        <f>H$37+H$23</f>
        <v/>
      </c>
      <c r="I39" s="21">
        <f>I$37+I$23</f>
        <v/>
      </c>
      <c r="J39" s="21">
        <f>J$37+J$23</f>
        <v/>
      </c>
      <c r="K39" s="21">
        <f>K$37+K$23</f>
        <v/>
      </c>
      <c r="L39" s="53">
        <f>L$37+L$23</f>
        <v/>
      </c>
      <c r="M39" s="21">
        <f>SUM(B39:K39)</f>
        <v/>
      </c>
    </row>
    <row r="40">
      <c r="A40" s="37" t="inlineStr">
        <is>
          <t>Utilization (occupied / available)</t>
        </is>
      </c>
      <c r="B40" s="55">
        <f>IF(B$21&gt;0,B$39/B$21,0)</f>
        <v/>
      </c>
      <c r="C40" s="55">
        <f>IF(C$21&gt;0,C$39/C$21,0)</f>
        <v/>
      </c>
      <c r="D40" s="55">
        <f>IF(D$21&gt;0,D$39/D$21,0)</f>
        <v/>
      </c>
      <c r="E40" s="55">
        <f>IF(E$21&gt;0,E$39/E$21,0)</f>
        <v/>
      </c>
      <c r="F40" s="55">
        <f>IF(F$21&gt;0,F$39/F$21,0)</f>
        <v/>
      </c>
      <c r="G40" s="55">
        <f>IF(G$21&gt;0,G$39/G$21,0)</f>
        <v/>
      </c>
      <c r="H40" s="55">
        <f>IF(H$21&gt;0,H$39/H$21,0)</f>
        <v/>
      </c>
      <c r="I40" s="55">
        <f>IF(I$21&gt;0,I$39/I$21,0)</f>
        <v/>
      </c>
      <c r="J40" s="55">
        <f>IF(J$21&gt;0,J$39/J$21,0)</f>
        <v/>
      </c>
      <c r="K40" s="55">
        <f>IF(K$21&gt;0,K$39/K$21,0)</f>
        <v/>
      </c>
      <c r="L40" s="56">
        <f>IF(L$21&gt;0,L$39/L$21,0)</f>
        <v/>
      </c>
    </row>
    <row r="41">
      <c r="A41" s="37" t="inlineStr">
        <is>
          <t>Staff in service (FTE)</t>
        </is>
      </c>
      <c r="B41" s="59">
        <f>Assumptions!$F$198*B$8+Assumptions!$F$200*B$8+Assumptions!$F$202*B$8+Assumptions!$F$204*B$8+Assumptions!$F$206*B$8+Assumptions!$F$208*B$8+Assumptions!$F$210*B$8+Assumptions!$F$212*B$8</f>
        <v/>
      </c>
      <c r="C41" s="59">
        <f>Assumptions!$F$198*C$8+Assumptions!$F$200*C$8+Assumptions!$F$202*C$8+Assumptions!$F$204*C$8+Assumptions!$F$206*C$8+Assumptions!$F$208*C$8+Assumptions!$F$210*C$8+Assumptions!$F$212*C$8</f>
        <v/>
      </c>
      <c r="D41" s="59">
        <f>Assumptions!$F$198*D$8+Assumptions!$F$200*D$8+Assumptions!$F$202*D$8+Assumptions!$F$204*D$8+Assumptions!$F$206*D$8+Assumptions!$F$208*D$8+Assumptions!$F$210*D$8+Assumptions!$F$212*D$8</f>
        <v/>
      </c>
      <c r="E41" s="59">
        <f>Assumptions!$F$198*E$8+Assumptions!$F$200*E$8+Assumptions!$F$202*E$8+Assumptions!$F$204*E$8+Assumptions!$F$206*E$8+Assumptions!$F$208*E$8+Assumptions!$F$210*E$8+Assumptions!$F$212*E$8</f>
        <v/>
      </c>
      <c r="F41" s="59">
        <f>Assumptions!$F$198*F$8+Assumptions!$F$200*F$8+Assumptions!$F$202*F$8+Assumptions!$F$204*F$8+Assumptions!$F$206*F$8+Assumptions!$F$208*F$8+Assumptions!$F$210*F$8+Assumptions!$F$212*F$8</f>
        <v/>
      </c>
      <c r="G41" s="59">
        <f>Assumptions!$F$198*G$8+Assumptions!$F$200*G$8+Assumptions!$F$202*G$8+Assumptions!$F$204*G$8+Assumptions!$F$206*G$8+Assumptions!$F$208*G$8+Assumptions!$F$210*G$8+Assumptions!$F$212*G$8</f>
        <v/>
      </c>
      <c r="H41" s="59">
        <f>Assumptions!$F$198*H$8+Assumptions!$F$200*H$8+Assumptions!$F$202*H$8+Assumptions!$F$204*H$8+Assumptions!$F$206*H$8+Assumptions!$F$208*H$8+Assumptions!$F$210*H$8+Assumptions!$F$212*H$8</f>
        <v/>
      </c>
      <c r="I41" s="59">
        <f>Assumptions!$F$198*I$8+Assumptions!$F$200*I$8+Assumptions!$F$202*I$8+Assumptions!$F$204*I$8+Assumptions!$F$206*I$8+Assumptions!$F$208*I$8+Assumptions!$F$210*I$8+Assumptions!$F$212*I$8</f>
        <v/>
      </c>
      <c r="J41" s="59">
        <f>Assumptions!$F$198*J$8+Assumptions!$F$200*J$8+Assumptions!$F$202*J$8+Assumptions!$F$204*J$8+Assumptions!$F$206*J$8+Assumptions!$F$208*J$8+Assumptions!$F$210*J$8+Assumptions!$F$212*J$8</f>
        <v/>
      </c>
      <c r="K41" s="59">
        <f>Assumptions!$F$198*K$8+Assumptions!$F$200*K$8+Assumptions!$F$202*K$8+Assumptions!$F$204*K$8+Assumptions!$F$206*K$8+Assumptions!$F$208*K$8+Assumptions!$F$210*K$8+Assumptions!$F$212*K$8</f>
        <v/>
      </c>
      <c r="L41" s="60">
        <f>Assumptions!$F$198*L$8+Assumptions!$F$200*L$8+Assumptions!$F$202*L$8+Assumptions!$F$204*L$8+Assumptions!$F$206*L$8+Assumptions!$F$208*L$8+Assumptions!$F$210*L$8+Assumptions!$F$212*L$8</f>
        <v/>
      </c>
      <c r="N41" s="54" t="inlineStr">
        <is>
          <t>Our core team on the Assumptions sheet</t>
        </is>
      </c>
    </row>
    <row r="42">
      <c r="A42" s="37" t="inlineStr">
        <is>
          <t>Land held at cost</t>
        </is>
      </c>
      <c r="B42" s="21">
        <f>Assumptions!$F$34*B$13</f>
        <v/>
      </c>
      <c r="C42" s="21">
        <f>Assumptions!$F$34*C$13</f>
        <v/>
      </c>
      <c r="D42" s="21">
        <f>Assumptions!$F$34*D$13</f>
        <v/>
      </c>
      <c r="E42" s="21">
        <f>Assumptions!$F$34*E$13</f>
        <v/>
      </c>
      <c r="F42" s="21">
        <f>Assumptions!$F$34*F$13</f>
        <v/>
      </c>
      <c r="G42" s="21">
        <f>Assumptions!$F$34*G$13</f>
        <v/>
      </c>
      <c r="H42" s="21">
        <f>Assumptions!$F$34*H$13</f>
        <v/>
      </c>
      <c r="I42" s="21">
        <f>Assumptions!$F$34*I$13</f>
        <v/>
      </c>
      <c r="J42" s="21">
        <f>Assumptions!$F$34*J$13</f>
        <v/>
      </c>
      <c r="K42" s="21">
        <f>Assumptions!$F$34*K$13</f>
        <v/>
      </c>
      <c r="L42" s="53">
        <f>Assumptions!$F$34*L$13</f>
        <v/>
      </c>
    </row>
    <row r="43">
      <c r="A43" s="37" t="inlineStr">
        <is>
          <t>Replacement value in service (insured, maintained)</t>
        </is>
      </c>
      <c r="B43" s="21">
        <f>'Sources &amp; Uses'!$E$70*B$8+'Sources &amp; Uses'!$E$71*B$9+'Sources &amp; Uses'!$E$72*B$10</f>
        <v/>
      </c>
      <c r="C43" s="21">
        <f>'Sources &amp; Uses'!$E$70*C$8+'Sources &amp; Uses'!$E$71*C$9+'Sources &amp; Uses'!$E$72*C$10</f>
        <v/>
      </c>
      <c r="D43" s="21">
        <f>'Sources &amp; Uses'!$E$70*D$8+'Sources &amp; Uses'!$E$71*D$9+'Sources &amp; Uses'!$E$72*D$10</f>
        <v/>
      </c>
      <c r="E43" s="21">
        <f>'Sources &amp; Uses'!$E$70*E$8+'Sources &amp; Uses'!$E$71*E$9+'Sources &amp; Uses'!$E$72*E$10</f>
        <v/>
      </c>
      <c r="F43" s="21">
        <f>'Sources &amp; Uses'!$E$70*F$8+'Sources &amp; Uses'!$E$71*F$9+'Sources &amp; Uses'!$E$72*F$10</f>
        <v/>
      </c>
      <c r="G43" s="21">
        <f>'Sources &amp; Uses'!$E$70*G$8+'Sources &amp; Uses'!$E$71*G$9+'Sources &amp; Uses'!$E$72*G$10</f>
        <v/>
      </c>
      <c r="H43" s="21">
        <f>'Sources &amp; Uses'!$E$70*H$8+'Sources &amp; Uses'!$E$71*H$9+'Sources &amp; Uses'!$E$72*H$10</f>
        <v/>
      </c>
      <c r="I43" s="21">
        <f>'Sources &amp; Uses'!$E$70*I$8+'Sources &amp; Uses'!$E$71*I$9+'Sources &amp; Uses'!$E$72*I$10</f>
        <v/>
      </c>
      <c r="J43" s="21">
        <f>'Sources &amp; Uses'!$E$70*J$8+'Sources &amp; Uses'!$E$71*J$9+'Sources &amp; Uses'!$E$72*J$10</f>
        <v/>
      </c>
      <c r="K43" s="21">
        <f>'Sources &amp; Uses'!$E$70*K$8+'Sources &amp; Uses'!$E$71*K$9+'Sources &amp; Uses'!$E$72*K$10</f>
        <v/>
      </c>
      <c r="L43" s="53">
        <f>'Sources &amp; Uses'!$E$70*L$8+'Sources &amp; Uses'!$E$71*L$9+'Sources &amp; Uses'!$E$72*L$10</f>
        <v/>
      </c>
    </row>
    <row r="44">
      <c r="A44" s="37" t="inlineStr">
        <is>
          <t>Assessed value (land + capitalized cost in service)</t>
        </is>
      </c>
      <c r="B44" s="21">
        <f>B$42+'Sources &amp; Uses'!$E$73*B$8+'Sources &amp; Uses'!$E$74*B$9+'Sources &amp; Uses'!$E$75*B$10</f>
        <v/>
      </c>
      <c r="C44" s="21">
        <f>C$42+'Sources &amp; Uses'!$E$73*C$8+'Sources &amp; Uses'!$E$74*C$9+'Sources &amp; Uses'!$E$75*C$10</f>
        <v/>
      </c>
      <c r="D44" s="21">
        <f>D$42+'Sources &amp; Uses'!$E$73*D$8+'Sources &amp; Uses'!$E$74*D$9+'Sources &amp; Uses'!$E$75*D$10</f>
        <v/>
      </c>
      <c r="E44" s="21">
        <f>E$42+'Sources &amp; Uses'!$E$73*E$8+'Sources &amp; Uses'!$E$74*E$9+'Sources &amp; Uses'!$E$75*E$10</f>
        <v/>
      </c>
      <c r="F44" s="21">
        <f>F$42+'Sources &amp; Uses'!$E$73*F$8+'Sources &amp; Uses'!$E$74*F$9+'Sources &amp; Uses'!$E$75*F$10</f>
        <v/>
      </c>
      <c r="G44" s="21">
        <f>G$42+'Sources &amp; Uses'!$E$73*G$8+'Sources &amp; Uses'!$E$74*G$9+'Sources &amp; Uses'!$E$75*G$10</f>
        <v/>
      </c>
      <c r="H44" s="21">
        <f>H$42+'Sources &amp; Uses'!$E$73*H$8+'Sources &amp; Uses'!$E$74*H$9+'Sources &amp; Uses'!$E$75*H$10</f>
        <v/>
      </c>
      <c r="I44" s="21">
        <f>I$42+'Sources &amp; Uses'!$E$73*I$8+'Sources &amp; Uses'!$E$74*I$9+'Sources &amp; Uses'!$E$75*I$10</f>
        <v/>
      </c>
      <c r="J44" s="21">
        <f>J$42+'Sources &amp; Uses'!$E$73*J$8+'Sources &amp; Uses'!$E$74*J$9+'Sources &amp; Uses'!$E$75*J$10</f>
        <v/>
      </c>
      <c r="K44" s="21">
        <f>K$42+'Sources &amp; Uses'!$E$73*K$8+'Sources &amp; Uses'!$E$74*K$9+'Sources &amp; Uses'!$E$75*K$10</f>
        <v/>
      </c>
      <c r="L44" s="53">
        <f>L$42+'Sources &amp; Uses'!$E$73*L$8+'Sources &amp; Uses'!$E$74*L$9+'Sources &amp; Uses'!$E$75*L$10</f>
        <v/>
      </c>
    </row>
    <row r="45">
      <c r="A45" s="7" t="inlineStr">
        <is>
          <t>EARNED REVENUE</t>
        </is>
      </c>
      <c r="B45" s="8" t="n"/>
      <c r="C45" s="8" t="n"/>
      <c r="D45" s="8" t="n"/>
      <c r="E45" s="8" t="n"/>
      <c r="F45" s="8" t="n"/>
      <c r="G45" s="8" t="n"/>
      <c r="H45" s="8" t="n"/>
      <c r="I45" s="8" t="n"/>
      <c r="J45" s="8" t="n"/>
      <c r="K45" s="8" t="n"/>
      <c r="L45" s="8" t="n"/>
      <c r="M45" s="8" t="n"/>
      <c r="N45" s="8" t="n"/>
    </row>
    <row r="46">
      <c r="A46" s="37" t="inlineStr">
        <is>
          <t>Cabin nights billed for program weekends and takeovers (lodging, before 8% TOT)</t>
        </is>
      </c>
      <c r="B46" s="21">
        <f>B$36*Assumptions!$F$99*B$18</f>
        <v/>
      </c>
      <c r="C46" s="21">
        <f>C$36*Assumptions!$F$99*C$18</f>
        <v/>
      </c>
      <c r="D46" s="21">
        <f>D$36*Assumptions!$F$99*D$18</f>
        <v/>
      </c>
      <c r="E46" s="21">
        <f>E$36*Assumptions!$F$99*E$18</f>
        <v/>
      </c>
      <c r="F46" s="21">
        <f>F$36*Assumptions!$F$99*F$18</f>
        <v/>
      </c>
      <c r="G46" s="21">
        <f>G$36*Assumptions!$F$99*G$18</f>
        <v/>
      </c>
      <c r="H46" s="21">
        <f>H$36*Assumptions!$F$99*H$18</f>
        <v/>
      </c>
      <c r="I46" s="21">
        <f>I$36*Assumptions!$F$99*I$18</f>
        <v/>
      </c>
      <c r="J46" s="21">
        <f>J$36*Assumptions!$F$99*J$18</f>
        <v/>
      </c>
      <c r="K46" s="21">
        <f>K$36*Assumptions!$F$99*K$18</f>
        <v/>
      </c>
      <c r="L46" s="53">
        <f>L$36*Assumptions!$F$99*L$18</f>
        <v/>
      </c>
      <c r="M46" s="21">
        <f>SUM(B46:K46)</f>
        <v/>
      </c>
      <c r="N46" s="54" t="inlineStr">
        <is>
          <t>Weekend and takeover nights only; 8% TOT collected on top (memo)</t>
        </is>
      </c>
    </row>
    <row r="47">
      <c r="A47" s="37" t="inlineStr">
        <is>
          <t>Food and beverage (weekend and takeover guests, performance bar, takeover catering)</t>
        </is>
      </c>
      <c r="B47" s="21">
        <f>(B$36*Assumptions!$F$101*Assumptions!$F$102+B$30*Assumptions!$F$124*Assumptions!$F$127+B$29*Assumptions!$F$120*Assumptions!$F$121*Assumptions!$F$122)*B$18</f>
        <v/>
      </c>
      <c r="C47" s="21">
        <f>(C$36*Assumptions!$F$101*Assumptions!$F$102+C$30*Assumptions!$F$124*Assumptions!$F$127+C$29*Assumptions!$F$120*Assumptions!$F$121*Assumptions!$F$122)*C$18</f>
        <v/>
      </c>
      <c r="D47" s="21">
        <f>(D$36*Assumptions!$F$101*Assumptions!$F$102+D$30*Assumptions!$F$124*Assumptions!$F$127+D$29*Assumptions!$F$120*Assumptions!$F$121*Assumptions!$F$122)*D$18</f>
        <v/>
      </c>
      <c r="E47" s="21">
        <f>(E$36*Assumptions!$F$101*Assumptions!$F$102+E$30*Assumptions!$F$124*Assumptions!$F$127+E$29*Assumptions!$F$120*Assumptions!$F$121*Assumptions!$F$122)*E$18</f>
        <v/>
      </c>
      <c r="F47" s="21">
        <f>(F$36*Assumptions!$F$101*Assumptions!$F$102+F$30*Assumptions!$F$124*Assumptions!$F$127+F$29*Assumptions!$F$120*Assumptions!$F$121*Assumptions!$F$122)*F$18</f>
        <v/>
      </c>
      <c r="G47" s="21">
        <f>(G$36*Assumptions!$F$101*Assumptions!$F$102+G$30*Assumptions!$F$124*Assumptions!$F$127+G$29*Assumptions!$F$120*Assumptions!$F$121*Assumptions!$F$122)*G$18</f>
        <v/>
      </c>
      <c r="H47" s="21">
        <f>(H$36*Assumptions!$F$101*Assumptions!$F$102+H$30*Assumptions!$F$124*Assumptions!$F$127+H$29*Assumptions!$F$120*Assumptions!$F$121*Assumptions!$F$122)*H$18</f>
        <v/>
      </c>
      <c r="I47" s="21">
        <f>(I$36*Assumptions!$F$101*Assumptions!$F$102+I$30*Assumptions!$F$124*Assumptions!$F$127+I$29*Assumptions!$F$120*Assumptions!$F$121*Assumptions!$F$122)*I$18</f>
        <v/>
      </c>
      <c r="J47" s="21">
        <f>(J$36*Assumptions!$F$101*Assumptions!$F$102+J$30*Assumptions!$F$124*Assumptions!$F$127+J$29*Assumptions!$F$120*Assumptions!$F$121*Assumptions!$F$122)*J$18</f>
        <v/>
      </c>
      <c r="K47" s="21">
        <f>(K$36*Assumptions!$F$101*Assumptions!$F$102+K$30*Assumptions!$F$124*Assumptions!$F$127+K$29*Assumptions!$F$120*Assumptions!$F$121*Assumptions!$F$122)*K$18</f>
        <v/>
      </c>
      <c r="L47" s="53">
        <f>(L$36*Assumptions!$F$101*Assumptions!$F$102+L$30*Assumptions!$F$124*Assumptions!$F$127+L$29*Assumptions!$F$120*Assumptions!$F$121*Assumptions!$F$122)*L$18</f>
        <v/>
      </c>
      <c r="M47" s="21">
        <f>SUM(B47:K47)</f>
        <v/>
      </c>
      <c r="N47" s="54" t="inlineStr">
        <is>
          <t>Retreat meals sit inside the all-in retreat price</t>
        </is>
      </c>
    </row>
    <row r="48">
      <c r="A48" s="37" t="inlineStr">
        <is>
          <t>Retreats (all-in price: lodging, meals and program)</t>
        </is>
      </c>
      <c r="B48" s="21">
        <f>B$24*B$25*Assumptions!$F$113*B$18</f>
        <v/>
      </c>
      <c r="C48" s="21">
        <f>C$24*C$25*Assumptions!$F$113*C$18</f>
        <v/>
      </c>
      <c r="D48" s="21">
        <f>D$24*D$25*Assumptions!$F$113*D$18</f>
        <v/>
      </c>
      <c r="E48" s="21">
        <f>E$24*E$25*Assumptions!$F$113*E$18</f>
        <v/>
      </c>
      <c r="F48" s="21">
        <f>F$24*F$25*Assumptions!$F$113*F$18</f>
        <v/>
      </c>
      <c r="G48" s="21">
        <f>G$24*G$25*Assumptions!$F$113*G$18</f>
        <v/>
      </c>
      <c r="H48" s="21">
        <f>H$24*H$25*Assumptions!$F$113*H$18</f>
        <v/>
      </c>
      <c r="I48" s="21">
        <f>I$24*I$25*Assumptions!$F$113*I$18</f>
        <v/>
      </c>
      <c r="J48" s="21">
        <f>J$24*J$25*Assumptions!$F$113*J$18</f>
        <v/>
      </c>
      <c r="K48" s="21">
        <f>K$24*K$25*Assumptions!$F$113*K$18</f>
        <v/>
      </c>
      <c r="L48" s="53">
        <f>L$24*L$25*Assumptions!$F$113*L$18</f>
        <v/>
      </c>
      <c r="M48" s="21">
        <f>SUM(B48:K48)</f>
        <v/>
      </c>
      <c r="N48" s="54" t="inlineStr">
        <is>
          <t>All-in USD 3,500 per guest (planning target, 14 Oct 2026): lodging, meals and program</t>
        </is>
      </c>
    </row>
    <row r="49">
      <c r="A49" s="37" t="inlineStr">
        <is>
          <t>Program weekends (program fees)</t>
        </is>
      </c>
      <c r="B49" s="21">
        <f>B$27*B$28*Assumptions!$F$116*Assumptions!$F$117*B$18</f>
        <v/>
      </c>
      <c r="C49" s="21">
        <f>C$27*C$28*Assumptions!$F$116*Assumptions!$F$117*C$18</f>
        <v/>
      </c>
      <c r="D49" s="21">
        <f>D$27*D$28*Assumptions!$F$116*Assumptions!$F$117*D$18</f>
        <v/>
      </c>
      <c r="E49" s="21">
        <f>E$27*E$28*Assumptions!$F$116*Assumptions!$F$117*E$18</f>
        <v/>
      </c>
      <c r="F49" s="21">
        <f>F$27*F$28*Assumptions!$F$116*Assumptions!$F$117*F$18</f>
        <v/>
      </c>
      <c r="G49" s="21">
        <f>G$27*G$28*Assumptions!$F$116*Assumptions!$F$117*G$18</f>
        <v/>
      </c>
      <c r="H49" s="21">
        <f>H$27*H$28*Assumptions!$F$116*Assumptions!$F$117*H$18</f>
        <v/>
      </c>
      <c r="I49" s="21">
        <f>I$27*I$28*Assumptions!$F$116*Assumptions!$F$117*I$18</f>
        <v/>
      </c>
      <c r="J49" s="21">
        <f>J$27*J$28*Assumptions!$F$116*Assumptions!$F$117*J$18</f>
        <v/>
      </c>
      <c r="K49" s="21">
        <f>K$27*K$28*Assumptions!$F$116*Assumptions!$F$117*K$18</f>
        <v/>
      </c>
      <c r="L49" s="53">
        <f>L$27*L$28*Assumptions!$F$116*Assumptions!$F$117*L$18</f>
        <v/>
      </c>
      <c r="M49" s="21">
        <f>SUM(B49:K49)</f>
        <v/>
      </c>
    </row>
    <row r="50">
      <c r="A50" s="37" t="inlineStr">
        <is>
          <t>Full-site takeovers (site fees)</t>
        </is>
      </c>
      <c r="B50" s="21">
        <f>B$29*Assumptions!$F$119*B$18</f>
        <v/>
      </c>
      <c r="C50" s="21">
        <f>C$29*Assumptions!$F$119*C$18</f>
        <v/>
      </c>
      <c r="D50" s="21">
        <f>D$29*Assumptions!$F$119*D$18</f>
        <v/>
      </c>
      <c r="E50" s="21">
        <f>E$29*Assumptions!$F$119*E$18</f>
        <v/>
      </c>
      <c r="F50" s="21">
        <f>F$29*Assumptions!$F$119*F$18</f>
        <v/>
      </c>
      <c r="G50" s="21">
        <f>G$29*Assumptions!$F$119*G$18</f>
        <v/>
      </c>
      <c r="H50" s="21">
        <f>H$29*Assumptions!$F$119*H$18</f>
        <v/>
      </c>
      <c r="I50" s="21">
        <f>I$29*Assumptions!$F$119*I$18</f>
        <v/>
      </c>
      <c r="J50" s="21">
        <f>J$29*Assumptions!$F$119*J$18</f>
        <v/>
      </c>
      <c r="K50" s="21">
        <f>K$29*Assumptions!$F$119*K$18</f>
        <v/>
      </c>
      <c r="L50" s="53">
        <f>L$29*Assumptions!$F$119*L$18</f>
        <v/>
      </c>
      <c r="M50" s="21">
        <f>SUM(B50:K50)</f>
        <v/>
      </c>
    </row>
    <row r="51">
      <c r="A51" s="37" t="inlineStr">
        <is>
          <t>Paid residencies (label or artist funded)</t>
        </is>
      </c>
      <c r="B51" s="21">
        <f>B$22*Assumptions!$F$108*Assumptions!$F$109*B$18</f>
        <v/>
      </c>
      <c r="C51" s="21">
        <f>C$22*Assumptions!$F$108*Assumptions!$F$109*C$18</f>
        <v/>
      </c>
      <c r="D51" s="21">
        <f>D$22*Assumptions!$F$108*Assumptions!$F$109*D$18</f>
        <v/>
      </c>
      <c r="E51" s="21">
        <f>E$22*Assumptions!$F$108*Assumptions!$F$109*E$18</f>
        <v/>
      </c>
      <c r="F51" s="21">
        <f>F$22*Assumptions!$F$108*Assumptions!$F$109*F$18</f>
        <v/>
      </c>
      <c r="G51" s="21">
        <f>G$22*Assumptions!$F$108*Assumptions!$F$109*G$18</f>
        <v/>
      </c>
      <c r="H51" s="21">
        <f>H$22*Assumptions!$F$108*Assumptions!$F$109*H$18</f>
        <v/>
      </c>
      <c r="I51" s="21">
        <f>I$22*Assumptions!$F$108*Assumptions!$F$109*I$18</f>
        <v/>
      </c>
      <c r="J51" s="21">
        <f>J$22*Assumptions!$F$108*Assumptions!$F$109*J$18</f>
        <v/>
      </c>
      <c r="K51" s="21">
        <f>K$22*Assumptions!$F$108*Assumptions!$F$109*K$18</f>
        <v/>
      </c>
      <c r="L51" s="53">
        <f>L$22*Assumptions!$F$108*Assumptions!$F$109*L$18</f>
        <v/>
      </c>
      <c r="M51" s="21">
        <f>SUM(B51:K51)</f>
        <v/>
      </c>
    </row>
    <row r="52">
      <c r="A52" s="37" t="inlineStr">
        <is>
          <t>Performances (tickets)</t>
        </is>
      </c>
      <c r="B52" s="21">
        <f>B$30*Assumptions!$F$124*Assumptions!$F$125*Assumptions!$F$126*B$18</f>
        <v/>
      </c>
      <c r="C52" s="21">
        <f>C$30*Assumptions!$F$124*Assumptions!$F$125*Assumptions!$F$126*C$18</f>
        <v/>
      </c>
      <c r="D52" s="21">
        <f>D$30*Assumptions!$F$124*Assumptions!$F$125*Assumptions!$F$126*D$18</f>
        <v/>
      </c>
      <c r="E52" s="21">
        <f>E$30*Assumptions!$F$124*Assumptions!$F$125*Assumptions!$F$126*E$18</f>
        <v/>
      </c>
      <c r="F52" s="21">
        <f>F$30*Assumptions!$F$124*Assumptions!$F$125*Assumptions!$F$126*F$18</f>
        <v/>
      </c>
      <c r="G52" s="21">
        <f>G$30*Assumptions!$F$124*Assumptions!$F$125*Assumptions!$F$126*G$18</f>
        <v/>
      </c>
      <c r="H52" s="21">
        <f>H$30*Assumptions!$F$124*Assumptions!$F$125*Assumptions!$F$126*H$18</f>
        <v/>
      </c>
      <c r="I52" s="21">
        <f>I$30*Assumptions!$F$124*Assumptions!$F$125*Assumptions!$F$126*I$18</f>
        <v/>
      </c>
      <c r="J52" s="21">
        <f>J$30*Assumptions!$F$124*Assumptions!$F$125*Assumptions!$F$126*J$18</f>
        <v/>
      </c>
      <c r="K52" s="21">
        <f>K$30*Assumptions!$F$124*Assumptions!$F$125*Assumptions!$F$126*K$18</f>
        <v/>
      </c>
      <c r="L52" s="53">
        <f>L$30*Assumptions!$F$124*Assumptions!$F$125*Assumptions!$F$126*L$18</f>
        <v/>
      </c>
      <c r="M52" s="21">
        <f>SUM(B52:K52)</f>
        <v/>
      </c>
      <c r="N52" s="54" t="inlineStr">
        <is>
          <t>150 seats x USD 80, every seat paid (planning target, 14 Oct 2026)</t>
        </is>
      </c>
    </row>
    <row r="53">
      <c r="A53" s="37" t="inlineStr">
        <is>
          <t>Membership</t>
        </is>
      </c>
      <c r="B53" s="21">
        <f>Assumptions!$F$132*Assumptions!$F$133*B$14*B$18</f>
        <v/>
      </c>
      <c r="C53" s="21">
        <f>Assumptions!$F$132*Assumptions!$F$133*C$14*C$18</f>
        <v/>
      </c>
      <c r="D53" s="21">
        <f>Assumptions!$F$132*Assumptions!$F$133*D$14*D$18</f>
        <v/>
      </c>
      <c r="E53" s="21">
        <f>Assumptions!$F$132*Assumptions!$F$133*E$14*E$18</f>
        <v/>
      </c>
      <c r="F53" s="21">
        <f>Assumptions!$F$132*Assumptions!$F$133*F$14*F$18</f>
        <v/>
      </c>
      <c r="G53" s="21">
        <f>Assumptions!$F$132*Assumptions!$F$133*G$14*G$18</f>
        <v/>
      </c>
      <c r="H53" s="21">
        <f>Assumptions!$F$132*Assumptions!$F$133*H$14*H$18</f>
        <v/>
      </c>
      <c r="I53" s="21">
        <f>Assumptions!$F$132*Assumptions!$F$133*I$14*I$18</f>
        <v/>
      </c>
      <c r="J53" s="21">
        <f>Assumptions!$F$132*Assumptions!$F$133*J$14*J$18</f>
        <v/>
      </c>
      <c r="K53" s="21">
        <f>Assumptions!$F$132*Assumptions!$F$133*K$14*K$18</f>
        <v/>
      </c>
      <c r="L53" s="53">
        <f>Assumptions!$F$132*Assumptions!$F$133*L$14*L$18</f>
        <v/>
      </c>
      <c r="M53" s="21">
        <f>SUM(B53:K53)</f>
        <v/>
      </c>
    </row>
    <row r="54">
      <c r="A54" s="37" t="inlineStr">
        <is>
          <t>Workshops</t>
        </is>
      </c>
      <c r="B54" s="21">
        <f>Assumptions!$F$134*Assumptions!$F$135*Assumptions!$F$136*B$14*B$8*B$18</f>
        <v/>
      </c>
      <c r="C54" s="21">
        <f>Assumptions!$F$134*Assumptions!$F$135*Assumptions!$F$136*C$14*C$8*C$18</f>
        <v/>
      </c>
      <c r="D54" s="21">
        <f>Assumptions!$F$134*Assumptions!$F$135*Assumptions!$F$136*D$14*D$8*D$18</f>
        <v/>
      </c>
      <c r="E54" s="21">
        <f>Assumptions!$F$134*Assumptions!$F$135*Assumptions!$F$136*E$14*E$8*E$18</f>
        <v/>
      </c>
      <c r="F54" s="21">
        <f>Assumptions!$F$134*Assumptions!$F$135*Assumptions!$F$136*F$14*F$8*F$18</f>
        <v/>
      </c>
      <c r="G54" s="21">
        <f>Assumptions!$F$134*Assumptions!$F$135*Assumptions!$F$136*G$14*G$8*G$18</f>
        <v/>
      </c>
      <c r="H54" s="21">
        <f>Assumptions!$F$134*Assumptions!$F$135*Assumptions!$F$136*H$14*H$8*H$18</f>
        <v/>
      </c>
      <c r="I54" s="21">
        <f>Assumptions!$F$134*Assumptions!$F$135*Assumptions!$F$136*I$14*I$8*I$18</f>
        <v/>
      </c>
      <c r="J54" s="21">
        <f>Assumptions!$F$134*Assumptions!$F$135*Assumptions!$F$136*J$14*J$8*J$18</f>
        <v/>
      </c>
      <c r="K54" s="21">
        <f>Assumptions!$F$134*Assumptions!$F$135*Assumptions!$F$136*K$14*K$8*K$18</f>
        <v/>
      </c>
      <c r="L54" s="53">
        <f>Assumptions!$F$134*Assumptions!$F$135*Assumptions!$F$136*L$14*L$8*L$18</f>
        <v/>
      </c>
      <c r="M54" s="21">
        <f>SUM(B54:K54)</f>
        <v/>
      </c>
    </row>
    <row r="55">
      <c r="A55" s="37" t="inlineStr">
        <is>
          <t>Studio bookings outside residencies</t>
        </is>
      </c>
      <c r="B55" s="21">
        <f>Assumptions!$F$137*Assumptions!$F$138*B$16*B$9*B$18</f>
        <v/>
      </c>
      <c r="C55" s="21">
        <f>Assumptions!$F$137*Assumptions!$F$138*C$16*C$9*C$18</f>
        <v/>
      </c>
      <c r="D55" s="21">
        <f>Assumptions!$F$137*Assumptions!$F$138*D$16*D$9*D$18</f>
        <v/>
      </c>
      <c r="E55" s="21">
        <f>Assumptions!$F$137*Assumptions!$F$138*E$16*E$9*E$18</f>
        <v/>
      </c>
      <c r="F55" s="21">
        <f>Assumptions!$F$137*Assumptions!$F$138*F$16*F$9*F$18</f>
        <v/>
      </c>
      <c r="G55" s="21">
        <f>Assumptions!$F$137*Assumptions!$F$138*G$16*G$9*G$18</f>
        <v/>
      </c>
      <c r="H55" s="21">
        <f>Assumptions!$F$137*Assumptions!$F$138*H$16*H$9*H$18</f>
        <v/>
      </c>
      <c r="I55" s="21">
        <f>Assumptions!$F$137*Assumptions!$F$138*I$16*I$9*I$18</f>
        <v/>
      </c>
      <c r="J55" s="21">
        <f>Assumptions!$F$137*Assumptions!$F$138*J$16*J$9*J$18</f>
        <v/>
      </c>
      <c r="K55" s="21">
        <f>Assumptions!$F$137*Assumptions!$F$138*K$16*K$9*K$18</f>
        <v/>
      </c>
      <c r="L55" s="53">
        <f>Assumptions!$F$137*Assumptions!$F$138*L$16*L$9*L$18</f>
        <v/>
      </c>
      <c r="M55" s="21">
        <f>SUM(B55:K55)</f>
        <v/>
      </c>
    </row>
    <row r="56">
      <c r="A56" s="37" t="inlineStr">
        <is>
          <t>Gallery sessions, kissa bar and shop</t>
        </is>
      </c>
      <c r="B56" s="21">
        <f>Assumptions!$F$139*B$17*B$10*B$18</f>
        <v/>
      </c>
      <c r="C56" s="21">
        <f>Assumptions!$F$139*C$17*C$10*C$18</f>
        <v/>
      </c>
      <c r="D56" s="21">
        <f>Assumptions!$F$139*D$17*D$10*D$18</f>
        <v/>
      </c>
      <c r="E56" s="21">
        <f>Assumptions!$F$139*E$17*E$10*E$18</f>
        <v/>
      </c>
      <c r="F56" s="21">
        <f>Assumptions!$F$139*F$17*F$10*F$18</f>
        <v/>
      </c>
      <c r="G56" s="21">
        <f>Assumptions!$F$139*G$17*G$10*G$18</f>
        <v/>
      </c>
      <c r="H56" s="21">
        <f>Assumptions!$F$139*H$17*H$10*H$18</f>
        <v/>
      </c>
      <c r="I56" s="21">
        <f>Assumptions!$F$139*I$17*I$10*I$18</f>
        <v/>
      </c>
      <c r="J56" s="21">
        <f>Assumptions!$F$139*J$17*J$10*J$18</f>
        <v/>
      </c>
      <c r="K56" s="21">
        <f>Assumptions!$F$139*K$17*K$10*K$18</f>
        <v/>
      </c>
      <c r="L56" s="53">
        <f>Assumptions!$F$139*L$17*L$10*L$18</f>
        <v/>
      </c>
      <c r="M56" s="21">
        <f>SUM(B56:K56)</f>
        <v/>
      </c>
    </row>
    <row r="57">
      <c r="A57" s="37" t="inlineStr">
        <is>
          <t>Stage 0 pop-ups (tickets and sponsors)</t>
        </is>
      </c>
      <c r="B57" s="21">
        <f>Assumptions!$F$140*B$12*B$18</f>
        <v/>
      </c>
      <c r="C57" s="21">
        <f>Assumptions!$F$140*C$12*C$18</f>
        <v/>
      </c>
      <c r="D57" s="21">
        <f>Assumptions!$F$140*D$12*D$18</f>
        <v/>
      </c>
      <c r="E57" s="21">
        <f>Assumptions!$F$140*E$12*E$18</f>
        <v/>
      </c>
      <c r="F57" s="21">
        <f>Assumptions!$F$140*F$12*F$18</f>
        <v/>
      </c>
      <c r="G57" s="21">
        <f>Assumptions!$F$140*G$12*G$18</f>
        <v/>
      </c>
      <c r="H57" s="21">
        <f>Assumptions!$F$140*H$12*H$18</f>
        <v/>
      </c>
      <c r="I57" s="21">
        <f>Assumptions!$F$140*I$12*I$18</f>
        <v/>
      </c>
      <c r="J57" s="21">
        <f>Assumptions!$F$140*J$12*J$18</f>
        <v/>
      </c>
      <c r="K57" s="21">
        <f>Assumptions!$F$140*K$12*K$18</f>
        <v/>
      </c>
      <c r="L57" s="53">
        <f>Assumptions!$F$140*L$12*L$18</f>
        <v/>
      </c>
      <c r="M57" s="21">
        <f>SUM(B57:K57)</f>
        <v/>
      </c>
    </row>
    <row r="58">
      <c r="A58" s="61" t="inlineStr">
        <is>
          <t>TOTAL EARNED REVENUE</t>
        </is>
      </c>
      <c r="B58" s="62">
        <f>SUM(B46:B57)</f>
        <v/>
      </c>
      <c r="C58" s="62">
        <f>SUM(C46:C57)</f>
        <v/>
      </c>
      <c r="D58" s="62">
        <f>SUM(D46:D57)</f>
        <v/>
      </c>
      <c r="E58" s="62">
        <f>SUM(E46:E57)</f>
        <v/>
      </c>
      <c r="F58" s="62">
        <f>SUM(F46:F57)</f>
        <v/>
      </c>
      <c r="G58" s="62">
        <f>SUM(G46:G57)</f>
        <v/>
      </c>
      <c r="H58" s="62">
        <f>SUM(H46:H57)</f>
        <v/>
      </c>
      <c r="I58" s="62">
        <f>SUM(I46:I57)</f>
        <v/>
      </c>
      <c r="J58" s="62">
        <f>SUM(J46:J57)</f>
        <v/>
      </c>
      <c r="K58" s="62">
        <f>SUM(K46:K57)</f>
        <v/>
      </c>
      <c r="L58" s="63">
        <f>SUM(L46:L57)</f>
        <v/>
      </c>
      <c r="M58" s="62">
        <f>SUM(B58:K58)</f>
        <v/>
      </c>
    </row>
    <row r="59">
      <c r="A59" s="7" t="inlineStr">
        <is>
          <t>CONTRIBUTED INCOME (shown separately)</t>
        </is>
      </c>
      <c r="B59" s="8" t="n"/>
      <c r="C59" s="8" t="n"/>
      <c r="D59" s="8" t="n"/>
      <c r="E59" s="8" t="n"/>
      <c r="F59" s="8" t="n"/>
      <c r="G59" s="8" t="n"/>
      <c r="H59" s="8" t="n"/>
      <c r="I59" s="8" t="n"/>
      <c r="J59" s="8" t="n"/>
      <c r="K59" s="8" t="n"/>
      <c r="L59" s="8" t="n"/>
      <c r="M59" s="8" t="n"/>
      <c r="N59" s="8" t="n"/>
    </row>
    <row r="60">
      <c r="A60" s="37" t="inlineStr">
        <is>
          <t>Patrons and founding members</t>
        </is>
      </c>
      <c r="B60" s="21">
        <f>Assumptions!$F$142*B$15*B$18</f>
        <v/>
      </c>
      <c r="C60" s="21">
        <f>Assumptions!$F$142*C$15*C$18</f>
        <v/>
      </c>
      <c r="D60" s="21">
        <f>Assumptions!$F$142*D$15*D$18</f>
        <v/>
      </c>
      <c r="E60" s="21">
        <f>Assumptions!$F$142*E$15*E$18</f>
        <v/>
      </c>
      <c r="F60" s="21">
        <f>Assumptions!$F$142*F$15*F$18</f>
        <v/>
      </c>
      <c r="G60" s="21">
        <f>Assumptions!$F$142*G$15*G$18</f>
        <v/>
      </c>
      <c r="H60" s="21">
        <f>Assumptions!$F$142*H$15*H$18</f>
        <v/>
      </c>
      <c r="I60" s="21">
        <f>Assumptions!$F$142*I$15*I$18</f>
        <v/>
      </c>
      <c r="J60" s="21">
        <f>Assumptions!$F$142*J$15*J$18</f>
        <v/>
      </c>
      <c r="K60" s="21">
        <f>Assumptions!$F$142*K$15*K$18</f>
        <v/>
      </c>
      <c r="L60" s="53">
        <f>Assumptions!$F$142*L$15*L$18</f>
        <v/>
      </c>
      <c r="M60" s="21">
        <f>SUM(B60:K60)</f>
        <v/>
      </c>
    </row>
    <row r="61">
      <c r="A61" s="37" t="inlineStr">
        <is>
          <t>Residency underwriting (foundations, labels, brands)</t>
        </is>
      </c>
      <c r="B61" s="21">
        <f>B$22*(1-Assumptions!$F$108)*Assumptions!$F$143*B$18</f>
        <v/>
      </c>
      <c r="C61" s="21">
        <f>C$22*(1-Assumptions!$F$108)*Assumptions!$F$143*C$18</f>
        <v/>
      </c>
      <c r="D61" s="21">
        <f>D$22*(1-Assumptions!$F$108)*Assumptions!$F$143*D$18</f>
        <v/>
      </c>
      <c r="E61" s="21">
        <f>E$22*(1-Assumptions!$F$108)*Assumptions!$F$143*E$18</f>
        <v/>
      </c>
      <c r="F61" s="21">
        <f>F$22*(1-Assumptions!$F$108)*Assumptions!$F$143*F$18</f>
        <v/>
      </c>
      <c r="G61" s="21">
        <f>G$22*(1-Assumptions!$F$108)*Assumptions!$F$143*G$18</f>
        <v/>
      </c>
      <c r="H61" s="21">
        <f>H$22*(1-Assumptions!$F$108)*Assumptions!$F$143*H$18</f>
        <v/>
      </c>
      <c r="I61" s="21">
        <f>I$22*(1-Assumptions!$F$108)*Assumptions!$F$143*I$18</f>
        <v/>
      </c>
      <c r="J61" s="21">
        <f>J$22*(1-Assumptions!$F$108)*Assumptions!$F$143*J$18</f>
        <v/>
      </c>
      <c r="K61" s="21">
        <f>K$22*(1-Assumptions!$F$108)*Assumptions!$F$143*K$18</f>
        <v/>
      </c>
      <c r="L61" s="53">
        <f>L$22*(1-Assumptions!$F$108)*Assumptions!$F$143*L$18</f>
        <v/>
      </c>
      <c r="M61" s="21">
        <f>SUM(B61:K61)</f>
        <v/>
      </c>
      <c r="N61" s="54" t="inlineStr">
        <is>
          <t>Fellowships: residencies not paid by labels or artists</t>
        </is>
      </c>
    </row>
    <row r="62">
      <c r="A62" s="37" t="inlineStr">
        <is>
          <t>Brand and gear partners (cash)</t>
        </is>
      </c>
      <c r="B62" s="21">
        <f>Assumptions!$F$144*B$15*B$18</f>
        <v/>
      </c>
      <c r="C62" s="21">
        <f>Assumptions!$F$144*C$15*C$18</f>
        <v/>
      </c>
      <c r="D62" s="21">
        <f>Assumptions!$F$144*D$15*D$18</f>
        <v/>
      </c>
      <c r="E62" s="21">
        <f>Assumptions!$F$144*E$15*E$18</f>
        <v/>
      </c>
      <c r="F62" s="21">
        <f>Assumptions!$F$144*F$15*F$18</f>
        <v/>
      </c>
      <c r="G62" s="21">
        <f>Assumptions!$F$144*G$15*G$18</f>
        <v/>
      </c>
      <c r="H62" s="21">
        <f>Assumptions!$F$144*H$15*H$18</f>
        <v/>
      </c>
      <c r="I62" s="21">
        <f>Assumptions!$F$144*I$15*I$18</f>
        <v/>
      </c>
      <c r="J62" s="21">
        <f>Assumptions!$F$144*J$15*J$18</f>
        <v/>
      </c>
      <c r="K62" s="21">
        <f>Assumptions!$F$144*K$15*K$18</f>
        <v/>
      </c>
      <c r="L62" s="53">
        <f>Assumptions!$F$144*L$15*L$18</f>
        <v/>
      </c>
      <c r="M62" s="21">
        <f>SUM(B62:K62)</f>
        <v/>
      </c>
    </row>
    <row r="63">
      <c r="A63" s="37" t="inlineStr">
        <is>
          <t>Grants (nonprofit arm or fiscal sponsor)</t>
        </is>
      </c>
      <c r="B63" s="21">
        <f>Assumptions!$F$145*B$15*B$18</f>
        <v/>
      </c>
      <c r="C63" s="21">
        <f>Assumptions!$F$145*C$15*C$18</f>
        <v/>
      </c>
      <c r="D63" s="21">
        <f>Assumptions!$F$145*D$15*D$18</f>
        <v/>
      </c>
      <c r="E63" s="21">
        <f>Assumptions!$F$145*E$15*E$18</f>
        <v/>
      </c>
      <c r="F63" s="21">
        <f>Assumptions!$F$145*F$15*F$18</f>
        <v/>
      </c>
      <c r="G63" s="21">
        <f>Assumptions!$F$145*G$15*G$18</f>
        <v/>
      </c>
      <c r="H63" s="21">
        <f>Assumptions!$F$145*H$15*H$18</f>
        <v/>
      </c>
      <c r="I63" s="21">
        <f>Assumptions!$F$145*I$15*I$18</f>
        <v/>
      </c>
      <c r="J63" s="21">
        <f>Assumptions!$F$145*J$15*J$18</f>
        <v/>
      </c>
      <c r="K63" s="21">
        <f>Assumptions!$F$145*K$15*K$18</f>
        <v/>
      </c>
      <c r="L63" s="53">
        <f>Assumptions!$F$145*L$15*L$18</f>
        <v/>
      </c>
      <c r="M63" s="21">
        <f>SUM(B63:K63)</f>
        <v/>
      </c>
    </row>
    <row r="64">
      <c r="A64" s="61" t="inlineStr">
        <is>
          <t>TOTAL CONTRIBUTED INCOME</t>
        </is>
      </c>
      <c r="B64" s="62">
        <f>SUM(B60:B63)</f>
        <v/>
      </c>
      <c r="C64" s="62">
        <f>SUM(C60:C63)</f>
        <v/>
      </c>
      <c r="D64" s="62">
        <f>SUM(D60:D63)</f>
        <v/>
      </c>
      <c r="E64" s="62">
        <f>SUM(E60:E63)</f>
        <v/>
      </c>
      <c r="F64" s="62">
        <f>SUM(F60:F63)</f>
        <v/>
      </c>
      <c r="G64" s="62">
        <f>SUM(G60:G63)</f>
        <v/>
      </c>
      <c r="H64" s="62">
        <f>SUM(H60:H63)</f>
        <v/>
      </c>
      <c r="I64" s="62">
        <f>SUM(I60:I63)</f>
        <v/>
      </c>
      <c r="J64" s="62">
        <f>SUM(J60:J63)</f>
        <v/>
      </c>
      <c r="K64" s="62">
        <f>SUM(K60:K63)</f>
        <v/>
      </c>
      <c r="L64" s="63">
        <f>SUM(L60:L63)</f>
        <v/>
      </c>
      <c r="M64" s="62">
        <f>SUM(B64:K64)</f>
        <v/>
      </c>
    </row>
    <row r="65">
      <c r="A65" s="64" t="inlineStr">
        <is>
          <t>Total revenue (earned + contributed)</t>
        </is>
      </c>
      <c r="B65" s="20">
        <f>B$58+B$64</f>
        <v/>
      </c>
      <c r="C65" s="20">
        <f>C$58+C$64</f>
        <v/>
      </c>
      <c r="D65" s="20">
        <f>D$58+D$64</f>
        <v/>
      </c>
      <c r="E65" s="20">
        <f>E$58+E$64</f>
        <v/>
      </c>
      <c r="F65" s="20">
        <f>F$58+F$64</f>
        <v/>
      </c>
      <c r="G65" s="20">
        <f>G$58+G$64</f>
        <v/>
      </c>
      <c r="H65" s="20">
        <f>H$58+H$64</f>
        <v/>
      </c>
      <c r="I65" s="20">
        <f>I$58+I$64</f>
        <v/>
      </c>
      <c r="J65" s="20">
        <f>J$58+J$64</f>
        <v/>
      </c>
      <c r="K65" s="20">
        <f>K$58+K$64</f>
        <v/>
      </c>
      <c r="L65" s="65">
        <f>L$58+L$64</f>
        <v/>
      </c>
      <c r="M65" s="20">
        <f>SUM(B65:K65)</f>
        <v/>
      </c>
    </row>
    <row r="66">
      <c r="A66" s="37" t="inlineStr">
        <is>
          <t>Earned share of total revenue</t>
        </is>
      </c>
      <c r="B66" s="55">
        <f>IF(B$65&gt;0,B$58/B$65,0)</f>
        <v/>
      </c>
      <c r="C66" s="55">
        <f>IF(C$65&gt;0,C$58/C$65,0)</f>
        <v/>
      </c>
      <c r="D66" s="55">
        <f>IF(D$65&gt;0,D$58/D$65,0)</f>
        <v/>
      </c>
      <c r="E66" s="55">
        <f>IF(E$65&gt;0,E$58/E$65,0)</f>
        <v/>
      </c>
      <c r="F66" s="55">
        <f>IF(F$65&gt;0,F$58/F$65,0)</f>
        <v/>
      </c>
      <c r="G66" s="55">
        <f>IF(G$65&gt;0,G$58/G$65,0)</f>
        <v/>
      </c>
      <c r="H66" s="55">
        <f>IF(H$65&gt;0,H$58/H$65,0)</f>
        <v/>
      </c>
      <c r="I66" s="55">
        <f>IF(I$65&gt;0,I$58/I$65,0)</f>
        <v/>
      </c>
      <c r="J66" s="55">
        <f>IF(J$65&gt;0,J$58/J$65,0)</f>
        <v/>
      </c>
      <c r="K66" s="55">
        <f>IF(K$65&gt;0,K$58/K$65,0)</f>
        <v/>
      </c>
      <c r="L66" s="56">
        <f>IF(L$65&gt;0,L$58/L$65,0)</f>
        <v/>
      </c>
    </row>
    <row r="67">
      <c r="A67" s="7" t="inlineStr">
        <is>
          <t>OPERATING EXPENSES</t>
        </is>
      </c>
      <c r="B67" s="8" t="n"/>
      <c r="C67" s="8" t="n"/>
      <c r="D67" s="8" t="n"/>
      <c r="E67" s="8" t="n"/>
      <c r="F67" s="8" t="n"/>
      <c r="G67" s="8" t="n"/>
      <c r="H67" s="8" t="n"/>
      <c r="I67" s="8" t="n"/>
      <c r="J67" s="8" t="n"/>
      <c r="K67" s="8" t="n"/>
      <c r="L67" s="8" t="n"/>
      <c r="M67" s="8" t="n"/>
      <c r="N67" s="8" t="n"/>
    </row>
    <row r="68">
      <c r="A68" s="66" t="inlineStr">
        <is>
          <t>Staff: CEO</t>
        </is>
      </c>
      <c r="B68" s="47">
        <f>Assumptions!$F$198*Assumptions!$F$199*Assumptions!$F$167*B$8*B$18</f>
        <v/>
      </c>
      <c r="C68" s="47">
        <f>Assumptions!$F$198*Assumptions!$F$199*Assumptions!$F$167*C$8*C$18</f>
        <v/>
      </c>
      <c r="D68" s="47">
        <f>Assumptions!$F$198*Assumptions!$F$199*Assumptions!$F$167*D$8*D$18</f>
        <v/>
      </c>
      <c r="E68" s="47">
        <f>Assumptions!$F$198*Assumptions!$F$199*Assumptions!$F$167*E$8*E$18</f>
        <v/>
      </c>
      <c r="F68" s="47">
        <f>Assumptions!$F$198*Assumptions!$F$199*Assumptions!$F$167*F$8*F$18</f>
        <v/>
      </c>
      <c r="G68" s="47">
        <f>Assumptions!$F$198*Assumptions!$F$199*Assumptions!$F$167*G$8*G$18</f>
        <v/>
      </c>
      <c r="H68" s="47">
        <f>Assumptions!$F$198*Assumptions!$F$199*Assumptions!$F$167*H$8*H$18</f>
        <v/>
      </c>
      <c r="I68" s="47">
        <f>Assumptions!$F$198*Assumptions!$F$199*Assumptions!$F$167*I$8*I$18</f>
        <v/>
      </c>
      <c r="J68" s="47">
        <f>Assumptions!$F$198*Assumptions!$F$199*Assumptions!$F$167*J$8*J$18</f>
        <v/>
      </c>
      <c r="K68" s="47">
        <f>Assumptions!$F$198*Assumptions!$F$199*Assumptions!$F$167*K$8*K$18</f>
        <v/>
      </c>
      <c r="L68" s="67">
        <f>Assumptions!$F$198*Assumptions!$F$199*Assumptions!$F$167*L$8*L$18</f>
        <v/>
      </c>
      <c r="M68" s="47">
        <f>SUM(B68:K68)</f>
        <v/>
      </c>
    </row>
    <row r="69">
      <c r="A69" s="66" t="inlineStr">
        <is>
          <t>Staff: COO</t>
        </is>
      </c>
      <c r="B69" s="47">
        <f>Assumptions!$F$200*Assumptions!$F$201*Assumptions!$F$167*B$8*B$18</f>
        <v/>
      </c>
      <c r="C69" s="47">
        <f>Assumptions!$F$200*Assumptions!$F$201*Assumptions!$F$167*C$8*C$18</f>
        <v/>
      </c>
      <c r="D69" s="47">
        <f>Assumptions!$F$200*Assumptions!$F$201*Assumptions!$F$167*D$8*D$18</f>
        <v/>
      </c>
      <c r="E69" s="47">
        <f>Assumptions!$F$200*Assumptions!$F$201*Assumptions!$F$167*E$8*E$18</f>
        <v/>
      </c>
      <c r="F69" s="47">
        <f>Assumptions!$F$200*Assumptions!$F$201*Assumptions!$F$167*F$8*F$18</f>
        <v/>
      </c>
      <c r="G69" s="47">
        <f>Assumptions!$F$200*Assumptions!$F$201*Assumptions!$F$167*G$8*G$18</f>
        <v/>
      </c>
      <c r="H69" s="47">
        <f>Assumptions!$F$200*Assumptions!$F$201*Assumptions!$F$167*H$8*H$18</f>
        <v/>
      </c>
      <c r="I69" s="47">
        <f>Assumptions!$F$200*Assumptions!$F$201*Assumptions!$F$167*I$8*I$18</f>
        <v/>
      </c>
      <c r="J69" s="47">
        <f>Assumptions!$F$200*Assumptions!$F$201*Assumptions!$F$167*J$8*J$18</f>
        <v/>
      </c>
      <c r="K69" s="47">
        <f>Assumptions!$F$200*Assumptions!$F$201*Assumptions!$F$167*K$8*K$18</f>
        <v/>
      </c>
      <c r="L69" s="67">
        <f>Assumptions!$F$200*Assumptions!$F$201*Assumptions!$F$167*L$8*L$18</f>
        <v/>
      </c>
      <c r="M69" s="47">
        <f>SUM(B69:K69)</f>
        <v/>
      </c>
    </row>
    <row r="70">
      <c r="A70" s="66" t="inlineStr">
        <is>
          <t>Staff: Fractional CFO</t>
        </is>
      </c>
      <c r="B70" s="47">
        <f>Assumptions!$F$202*Assumptions!$F$203*Assumptions!$F$167*B$8*B$18</f>
        <v/>
      </c>
      <c r="C70" s="47">
        <f>Assumptions!$F$202*Assumptions!$F$203*Assumptions!$F$167*C$8*C$18</f>
        <v/>
      </c>
      <c r="D70" s="47">
        <f>Assumptions!$F$202*Assumptions!$F$203*Assumptions!$F$167*D$8*D$18</f>
        <v/>
      </c>
      <c r="E70" s="47">
        <f>Assumptions!$F$202*Assumptions!$F$203*Assumptions!$F$167*E$8*E$18</f>
        <v/>
      </c>
      <c r="F70" s="47">
        <f>Assumptions!$F$202*Assumptions!$F$203*Assumptions!$F$167*F$8*F$18</f>
        <v/>
      </c>
      <c r="G70" s="47">
        <f>Assumptions!$F$202*Assumptions!$F$203*Assumptions!$F$167*G$8*G$18</f>
        <v/>
      </c>
      <c r="H70" s="47">
        <f>Assumptions!$F$202*Assumptions!$F$203*Assumptions!$F$167*H$8*H$18</f>
        <v/>
      </c>
      <c r="I70" s="47">
        <f>Assumptions!$F$202*Assumptions!$F$203*Assumptions!$F$167*I$8*I$18</f>
        <v/>
      </c>
      <c r="J70" s="47">
        <f>Assumptions!$F$202*Assumptions!$F$203*Assumptions!$F$167*J$8*J$18</f>
        <v/>
      </c>
      <c r="K70" s="47">
        <f>Assumptions!$F$202*Assumptions!$F$203*Assumptions!$F$167*K$8*K$18</f>
        <v/>
      </c>
      <c r="L70" s="67">
        <f>Assumptions!$F$202*Assumptions!$F$203*Assumptions!$F$167*L$8*L$18</f>
        <v/>
      </c>
      <c r="M70" s="47">
        <f>SUM(B70:K70)</f>
        <v/>
      </c>
    </row>
    <row r="71">
      <c r="A71" s="66" t="inlineStr">
        <is>
          <t>Staff: Head of programming</t>
        </is>
      </c>
      <c r="B71" s="47">
        <f>Assumptions!$F$204*Assumptions!$F$205*Assumptions!$F$167*B$8*B$18</f>
        <v/>
      </c>
      <c r="C71" s="47">
        <f>Assumptions!$F$204*Assumptions!$F$205*Assumptions!$F$167*C$8*C$18</f>
        <v/>
      </c>
      <c r="D71" s="47">
        <f>Assumptions!$F$204*Assumptions!$F$205*Assumptions!$F$167*D$8*D$18</f>
        <v/>
      </c>
      <c r="E71" s="47">
        <f>Assumptions!$F$204*Assumptions!$F$205*Assumptions!$F$167*E$8*E$18</f>
        <v/>
      </c>
      <c r="F71" s="47">
        <f>Assumptions!$F$204*Assumptions!$F$205*Assumptions!$F$167*F$8*F$18</f>
        <v/>
      </c>
      <c r="G71" s="47">
        <f>Assumptions!$F$204*Assumptions!$F$205*Assumptions!$F$167*G$8*G$18</f>
        <v/>
      </c>
      <c r="H71" s="47">
        <f>Assumptions!$F$204*Assumptions!$F$205*Assumptions!$F$167*H$8*H$18</f>
        <v/>
      </c>
      <c r="I71" s="47">
        <f>Assumptions!$F$204*Assumptions!$F$205*Assumptions!$F$167*I$8*I$18</f>
        <v/>
      </c>
      <c r="J71" s="47">
        <f>Assumptions!$F$204*Assumptions!$F$205*Assumptions!$F$167*J$8*J$18</f>
        <v/>
      </c>
      <c r="K71" s="47">
        <f>Assumptions!$F$204*Assumptions!$F$205*Assumptions!$F$167*K$8*K$18</f>
        <v/>
      </c>
      <c r="L71" s="67">
        <f>Assumptions!$F$204*Assumptions!$F$205*Assumptions!$F$167*L$8*L$18</f>
        <v/>
      </c>
      <c r="M71" s="47">
        <f>SUM(B71:K71)</f>
        <v/>
      </c>
    </row>
    <row r="72">
      <c r="A72" s="66" t="inlineStr">
        <is>
          <t>Staff: Head of operations</t>
        </is>
      </c>
      <c r="B72" s="47">
        <f>Assumptions!$F$206*Assumptions!$F$207*Assumptions!$F$167*B$8*B$18</f>
        <v/>
      </c>
      <c r="C72" s="47">
        <f>Assumptions!$F$206*Assumptions!$F$207*Assumptions!$F$167*C$8*C$18</f>
        <v/>
      </c>
      <c r="D72" s="47">
        <f>Assumptions!$F$206*Assumptions!$F$207*Assumptions!$F$167*D$8*D$18</f>
        <v/>
      </c>
      <c r="E72" s="47">
        <f>Assumptions!$F$206*Assumptions!$F$207*Assumptions!$F$167*E$8*E$18</f>
        <v/>
      </c>
      <c r="F72" s="47">
        <f>Assumptions!$F$206*Assumptions!$F$207*Assumptions!$F$167*F$8*F$18</f>
        <v/>
      </c>
      <c r="G72" s="47">
        <f>Assumptions!$F$206*Assumptions!$F$207*Assumptions!$F$167*G$8*G$18</f>
        <v/>
      </c>
      <c r="H72" s="47">
        <f>Assumptions!$F$206*Assumptions!$F$207*Assumptions!$F$167*H$8*H$18</f>
        <v/>
      </c>
      <c r="I72" s="47">
        <f>Assumptions!$F$206*Assumptions!$F$207*Assumptions!$F$167*I$8*I$18</f>
        <v/>
      </c>
      <c r="J72" s="47">
        <f>Assumptions!$F$206*Assumptions!$F$207*Assumptions!$F$167*J$8*J$18</f>
        <v/>
      </c>
      <c r="K72" s="47">
        <f>Assumptions!$F$206*Assumptions!$F$207*Assumptions!$F$167*K$8*K$18</f>
        <v/>
      </c>
      <c r="L72" s="67">
        <f>Assumptions!$F$206*Assumptions!$F$207*Assumptions!$F$167*L$8*L$18</f>
        <v/>
      </c>
      <c r="M72" s="47">
        <f>SUM(B72:K72)</f>
        <v/>
      </c>
    </row>
    <row r="73">
      <c r="A73" s="66" t="inlineStr">
        <is>
          <t>Staff: Head of marketing and partnerships</t>
        </is>
      </c>
      <c r="B73" s="47">
        <f>Assumptions!$F$208*Assumptions!$F$209*Assumptions!$F$167*B$8*B$18</f>
        <v/>
      </c>
      <c r="C73" s="47">
        <f>Assumptions!$F$208*Assumptions!$F$209*Assumptions!$F$167*C$8*C$18</f>
        <v/>
      </c>
      <c r="D73" s="47">
        <f>Assumptions!$F$208*Assumptions!$F$209*Assumptions!$F$167*D$8*D$18</f>
        <v/>
      </c>
      <c r="E73" s="47">
        <f>Assumptions!$F$208*Assumptions!$F$209*Assumptions!$F$167*E$8*E$18</f>
        <v/>
      </c>
      <c r="F73" s="47">
        <f>Assumptions!$F$208*Assumptions!$F$209*Assumptions!$F$167*F$8*F$18</f>
        <v/>
      </c>
      <c r="G73" s="47">
        <f>Assumptions!$F$208*Assumptions!$F$209*Assumptions!$F$167*G$8*G$18</f>
        <v/>
      </c>
      <c r="H73" s="47">
        <f>Assumptions!$F$208*Assumptions!$F$209*Assumptions!$F$167*H$8*H$18</f>
        <v/>
      </c>
      <c r="I73" s="47">
        <f>Assumptions!$F$208*Assumptions!$F$209*Assumptions!$F$167*I$8*I$18</f>
        <v/>
      </c>
      <c r="J73" s="47">
        <f>Assumptions!$F$208*Assumptions!$F$209*Assumptions!$F$167*J$8*J$18</f>
        <v/>
      </c>
      <c r="K73" s="47">
        <f>Assumptions!$F$208*Assumptions!$F$209*Assumptions!$F$167*K$8*K$18</f>
        <v/>
      </c>
      <c r="L73" s="67">
        <f>Assumptions!$F$208*Assumptions!$F$209*Assumptions!$F$167*L$8*L$18</f>
        <v/>
      </c>
      <c r="M73" s="47">
        <f>SUM(B73:K73)</f>
        <v/>
      </c>
    </row>
    <row r="74">
      <c r="A74" s="66" t="inlineStr">
        <is>
          <t>Staff: Gardener and groundskeeper</t>
        </is>
      </c>
      <c r="B74" s="47">
        <f>Assumptions!$F$210*Assumptions!$F$211*Assumptions!$F$167*B$8*B$18</f>
        <v/>
      </c>
      <c r="C74" s="47">
        <f>Assumptions!$F$210*Assumptions!$F$211*Assumptions!$F$167*C$8*C$18</f>
        <v/>
      </c>
      <c r="D74" s="47">
        <f>Assumptions!$F$210*Assumptions!$F$211*Assumptions!$F$167*D$8*D$18</f>
        <v/>
      </c>
      <c r="E74" s="47">
        <f>Assumptions!$F$210*Assumptions!$F$211*Assumptions!$F$167*E$8*E$18</f>
        <v/>
      </c>
      <c r="F74" s="47">
        <f>Assumptions!$F$210*Assumptions!$F$211*Assumptions!$F$167*F$8*F$18</f>
        <v/>
      </c>
      <c r="G74" s="47">
        <f>Assumptions!$F$210*Assumptions!$F$211*Assumptions!$F$167*G$8*G$18</f>
        <v/>
      </c>
      <c r="H74" s="47">
        <f>Assumptions!$F$210*Assumptions!$F$211*Assumptions!$F$167*H$8*H$18</f>
        <v/>
      </c>
      <c r="I74" s="47">
        <f>Assumptions!$F$210*Assumptions!$F$211*Assumptions!$F$167*I$8*I$18</f>
        <v/>
      </c>
      <c r="J74" s="47">
        <f>Assumptions!$F$210*Assumptions!$F$211*Assumptions!$F$167*J$8*J$18</f>
        <v/>
      </c>
      <c r="K74" s="47">
        <f>Assumptions!$F$210*Assumptions!$F$211*Assumptions!$F$167*K$8*K$18</f>
        <v/>
      </c>
      <c r="L74" s="67">
        <f>Assumptions!$F$210*Assumptions!$F$211*Assumptions!$F$167*L$8*L$18</f>
        <v/>
      </c>
      <c r="M74" s="47">
        <f>SUM(B74:K74)</f>
        <v/>
      </c>
    </row>
    <row r="75">
      <c r="A75" s="66" t="inlineStr">
        <is>
          <t>Staff: Cleaner</t>
        </is>
      </c>
      <c r="B75" s="47">
        <f>Assumptions!$F$212*Assumptions!$F$213*Assumptions!$F$167*B$8*B$18</f>
        <v/>
      </c>
      <c r="C75" s="47">
        <f>Assumptions!$F$212*Assumptions!$F$213*Assumptions!$F$167*C$8*C$18</f>
        <v/>
      </c>
      <c r="D75" s="47">
        <f>Assumptions!$F$212*Assumptions!$F$213*Assumptions!$F$167*D$8*D$18</f>
        <v/>
      </c>
      <c r="E75" s="47">
        <f>Assumptions!$F$212*Assumptions!$F$213*Assumptions!$F$167*E$8*E$18</f>
        <v/>
      </c>
      <c r="F75" s="47">
        <f>Assumptions!$F$212*Assumptions!$F$213*Assumptions!$F$167*F$8*F$18</f>
        <v/>
      </c>
      <c r="G75" s="47">
        <f>Assumptions!$F$212*Assumptions!$F$213*Assumptions!$F$167*G$8*G$18</f>
        <v/>
      </c>
      <c r="H75" s="47">
        <f>Assumptions!$F$212*Assumptions!$F$213*Assumptions!$F$167*H$8*H$18</f>
        <v/>
      </c>
      <c r="I75" s="47">
        <f>Assumptions!$F$212*Assumptions!$F$213*Assumptions!$F$167*I$8*I$18</f>
        <v/>
      </c>
      <c r="J75" s="47">
        <f>Assumptions!$F$212*Assumptions!$F$213*Assumptions!$F$167*J$8*J$18</f>
        <v/>
      </c>
      <c r="K75" s="47">
        <f>Assumptions!$F$212*Assumptions!$F$213*Assumptions!$F$167*K$8*K$18</f>
        <v/>
      </c>
      <c r="L75" s="67">
        <f>Assumptions!$F$212*Assumptions!$F$213*Assumptions!$F$167*L$8*L$18</f>
        <v/>
      </c>
      <c r="M75" s="47">
        <f>SUM(B75:K75)</f>
        <v/>
      </c>
    </row>
    <row r="76">
      <c r="A76" s="64" t="inlineStr">
        <is>
          <t>Staff (salaries, payroll taxes and benefits)</t>
        </is>
      </c>
      <c r="B76" s="20">
        <f>SUM(B68:B75)</f>
        <v/>
      </c>
      <c r="C76" s="20">
        <f>SUM(C68:C75)</f>
        <v/>
      </c>
      <c r="D76" s="20">
        <f>SUM(D68:D75)</f>
        <v/>
      </c>
      <c r="E76" s="20">
        <f>SUM(E68:E75)</f>
        <v/>
      </c>
      <c r="F76" s="20">
        <f>SUM(F68:F75)</f>
        <v/>
      </c>
      <c r="G76" s="20">
        <f>SUM(G68:G75)</f>
        <v/>
      </c>
      <c r="H76" s="20">
        <f>SUM(H68:H75)</f>
        <v/>
      </c>
      <c r="I76" s="20">
        <f>SUM(I68:I75)</f>
        <v/>
      </c>
      <c r="J76" s="20">
        <f>SUM(J68:J75)</f>
        <v/>
      </c>
      <c r="K76" s="20">
        <f>SUM(K68:K75)</f>
        <v/>
      </c>
      <c r="L76" s="65">
        <f>SUM(L68:L75)</f>
        <v/>
      </c>
      <c r="M76" s="20">
        <f>SUM(B76:K76)</f>
        <v/>
      </c>
    </row>
    <row r="77">
      <c r="A77" s="37" t="inlineStr">
        <is>
          <t>Contract services for programs and events (chefs and kitchen help, studio engineers, live sound, extra housekeeping)</t>
        </is>
      </c>
      <c r="B77" s="21">
        <f>Assumptions!$F$168*B$8*B$18</f>
        <v/>
      </c>
      <c r="C77" s="21">
        <f>Assumptions!$F$168*C$8*C$18</f>
        <v/>
      </c>
      <c r="D77" s="21">
        <f>Assumptions!$F$168*D$8*D$18</f>
        <v/>
      </c>
      <c r="E77" s="21">
        <f>Assumptions!$F$168*E$8*E$18</f>
        <v/>
      </c>
      <c r="F77" s="21">
        <f>Assumptions!$F$168*F$8*F$18</f>
        <v/>
      </c>
      <c r="G77" s="21">
        <f>Assumptions!$F$168*G$8*G$18</f>
        <v/>
      </c>
      <c r="H77" s="21">
        <f>Assumptions!$F$168*H$8*H$18</f>
        <v/>
      </c>
      <c r="I77" s="21">
        <f>Assumptions!$F$168*I$8*I$18</f>
        <v/>
      </c>
      <c r="J77" s="21">
        <f>Assumptions!$F$168*J$8*J$18</f>
        <v/>
      </c>
      <c r="K77" s="21">
        <f>Assumptions!$F$168*K$8*K$18</f>
        <v/>
      </c>
      <c r="L77" s="53">
        <f>Assumptions!$F$168*L$8*L$18</f>
        <v/>
      </c>
      <c r="M77" s="21">
        <f>SUM(B77:K77)</f>
        <v/>
      </c>
      <c r="N77" s="54" t="inlineStr">
        <is>
          <t>Chefs, kitchen help, studio engineers, live sound, extra housekeeping</t>
        </is>
      </c>
    </row>
    <row r="78">
      <c r="A78" s="37" t="inlineStr">
        <is>
          <t>Residency program (artist fees, travel, studio support, films, meals)</t>
        </is>
      </c>
      <c r="B78" s="21">
        <f>B$22*(Assumptions!$F$157+Assumptions!$F$158+Assumptions!$F$159+Assumptions!$F$160+Assumptions!$F$161)*B$18</f>
        <v/>
      </c>
      <c r="C78" s="21">
        <f>C$22*(Assumptions!$F$157+Assumptions!$F$158+Assumptions!$F$159+Assumptions!$F$160+Assumptions!$F$161)*C$18</f>
        <v/>
      </c>
      <c r="D78" s="21">
        <f>D$22*(Assumptions!$F$157+Assumptions!$F$158+Assumptions!$F$159+Assumptions!$F$160+Assumptions!$F$161)*D$18</f>
        <v/>
      </c>
      <c r="E78" s="21">
        <f>E$22*(Assumptions!$F$157+Assumptions!$F$158+Assumptions!$F$159+Assumptions!$F$160+Assumptions!$F$161)*E$18</f>
        <v/>
      </c>
      <c r="F78" s="21">
        <f>F$22*(Assumptions!$F$157+Assumptions!$F$158+Assumptions!$F$159+Assumptions!$F$160+Assumptions!$F$161)*F$18</f>
        <v/>
      </c>
      <c r="G78" s="21">
        <f>G$22*(Assumptions!$F$157+Assumptions!$F$158+Assumptions!$F$159+Assumptions!$F$160+Assumptions!$F$161)*G$18</f>
        <v/>
      </c>
      <c r="H78" s="21">
        <f>H$22*(Assumptions!$F$157+Assumptions!$F$158+Assumptions!$F$159+Assumptions!$F$160+Assumptions!$F$161)*H$18</f>
        <v/>
      </c>
      <c r="I78" s="21">
        <f>I$22*(Assumptions!$F$157+Assumptions!$F$158+Assumptions!$F$159+Assumptions!$F$160+Assumptions!$F$161)*I$18</f>
        <v/>
      </c>
      <c r="J78" s="21">
        <f>J$22*(Assumptions!$F$157+Assumptions!$F$158+Assumptions!$F$159+Assumptions!$F$160+Assumptions!$F$161)*J$18</f>
        <v/>
      </c>
      <c r="K78" s="21">
        <f>K$22*(Assumptions!$F$157+Assumptions!$F$158+Assumptions!$F$159+Assumptions!$F$160+Assumptions!$F$161)*K$18</f>
        <v/>
      </c>
      <c r="L78" s="53">
        <f>L$22*(Assumptions!$F$157+Assumptions!$F$158+Assumptions!$F$159+Assumptions!$F$160+Assumptions!$F$161)*L$18</f>
        <v/>
      </c>
      <c r="M78" s="21">
        <f>SUM(B78:K78)</f>
        <v/>
      </c>
    </row>
    <row r="79">
      <c r="A79" s="37" t="inlineStr">
        <is>
          <t>Performance production</t>
        </is>
      </c>
      <c r="B79" s="21">
        <f>B$30*Assumptions!$F$162*B$18</f>
        <v/>
      </c>
      <c r="C79" s="21">
        <f>C$30*Assumptions!$F$162*C$18</f>
        <v/>
      </c>
      <c r="D79" s="21">
        <f>D$30*Assumptions!$F$162*D$18</f>
        <v/>
      </c>
      <c r="E79" s="21">
        <f>E$30*Assumptions!$F$162*E$18</f>
        <v/>
      </c>
      <c r="F79" s="21">
        <f>F$30*Assumptions!$F$162*F$18</f>
        <v/>
      </c>
      <c r="G79" s="21">
        <f>G$30*Assumptions!$F$162*G$18</f>
        <v/>
      </c>
      <c r="H79" s="21">
        <f>H$30*Assumptions!$F$162*H$18</f>
        <v/>
      </c>
      <c r="I79" s="21">
        <f>I$30*Assumptions!$F$162*I$18</f>
        <v/>
      </c>
      <c r="J79" s="21">
        <f>J$30*Assumptions!$F$162*J$18</f>
        <v/>
      </c>
      <c r="K79" s="21">
        <f>K$30*Assumptions!$F$162*K$18</f>
        <v/>
      </c>
      <c r="L79" s="53">
        <f>L$30*Assumptions!$F$162*L$18</f>
        <v/>
      </c>
      <c r="M79" s="21">
        <f>SUM(B79:K79)</f>
        <v/>
      </c>
    </row>
    <row r="80">
      <c r="A80" s="37" t="inlineStr">
        <is>
          <t>Program fixed (content, honoraria, showcases, access fund)</t>
        </is>
      </c>
      <c r="B80" s="21">
        <f>Assumptions!$F$163*B$8*B$18</f>
        <v/>
      </c>
      <c r="C80" s="21">
        <f>Assumptions!$F$163*C$8*C$18</f>
        <v/>
      </c>
      <c r="D80" s="21">
        <f>Assumptions!$F$163*D$8*D$18</f>
        <v/>
      </c>
      <c r="E80" s="21">
        <f>Assumptions!$F$163*E$8*E$18</f>
        <v/>
      </c>
      <c r="F80" s="21">
        <f>Assumptions!$F$163*F$8*F$18</f>
        <v/>
      </c>
      <c r="G80" s="21">
        <f>Assumptions!$F$163*G$8*G$18</f>
        <v/>
      </c>
      <c r="H80" s="21">
        <f>Assumptions!$F$163*H$8*H$18</f>
        <v/>
      </c>
      <c r="I80" s="21">
        <f>Assumptions!$F$163*I$8*I$18</f>
        <v/>
      </c>
      <c r="J80" s="21">
        <f>Assumptions!$F$163*J$8*J$18</f>
        <v/>
      </c>
      <c r="K80" s="21">
        <f>Assumptions!$F$163*K$8*K$18</f>
        <v/>
      </c>
      <c r="L80" s="53">
        <f>Assumptions!$F$163*L$8*L$18</f>
        <v/>
      </c>
      <c r="M80" s="21">
        <f>SUM(B80:K80)</f>
        <v/>
      </c>
    </row>
    <row r="81">
      <c r="A81" s="37" t="inlineStr">
        <is>
          <t>Retreat facilitators and program costs (share of the all-in price)</t>
        </is>
      </c>
      <c r="B81" s="21">
        <f>B$48*Assumptions!$F$169</f>
        <v/>
      </c>
      <c r="C81" s="21">
        <f>C$48*Assumptions!$F$169</f>
        <v/>
      </c>
      <c r="D81" s="21">
        <f>D$48*Assumptions!$F$169</f>
        <v/>
      </c>
      <c r="E81" s="21">
        <f>E$48*Assumptions!$F$169</f>
        <v/>
      </c>
      <c r="F81" s="21">
        <f>F$48*Assumptions!$F$169</f>
        <v/>
      </c>
      <c r="G81" s="21">
        <f>G$48*Assumptions!$F$169</f>
        <v/>
      </c>
      <c r="H81" s="21">
        <f>H$48*Assumptions!$F$169</f>
        <v/>
      </c>
      <c r="I81" s="21">
        <f>I$48*Assumptions!$F$169</f>
        <v/>
      </c>
      <c r="J81" s="21">
        <f>J$48*Assumptions!$F$169</f>
        <v/>
      </c>
      <c r="K81" s="21">
        <f>K$48*Assumptions!$F$169</f>
        <v/>
      </c>
      <c r="L81" s="53">
        <f>L$48*Assumptions!$F$169</f>
        <v/>
      </c>
      <c r="M81" s="21">
        <f>SUM(B81:K81)</f>
        <v/>
      </c>
    </row>
    <row r="82">
      <c r="A82" s="37" t="inlineStr">
        <is>
          <t>Retreat food (inside the all-in price)</t>
        </is>
      </c>
      <c r="B82" s="21">
        <f>B$26*Assumptions!$F$102*Assumptions!$F$173*B$18</f>
        <v/>
      </c>
      <c r="C82" s="21">
        <f>C$26*Assumptions!$F$102*Assumptions!$F$173*C$18</f>
        <v/>
      </c>
      <c r="D82" s="21">
        <f>D$26*Assumptions!$F$102*Assumptions!$F$173*D$18</f>
        <v/>
      </c>
      <c r="E82" s="21">
        <f>E$26*Assumptions!$F$102*Assumptions!$F$173*E$18</f>
        <v/>
      </c>
      <c r="F82" s="21">
        <f>F$26*Assumptions!$F$102*Assumptions!$F$173*F$18</f>
        <v/>
      </c>
      <c r="G82" s="21">
        <f>G$26*Assumptions!$F$102*Assumptions!$F$173*G$18</f>
        <v/>
      </c>
      <c r="H82" s="21">
        <f>H$26*Assumptions!$F$102*Assumptions!$F$173*H$18</f>
        <v/>
      </c>
      <c r="I82" s="21">
        <f>I$26*Assumptions!$F$102*Assumptions!$F$173*I$18</f>
        <v/>
      </c>
      <c r="J82" s="21">
        <f>J$26*Assumptions!$F$102*Assumptions!$F$173*J$18</f>
        <v/>
      </c>
      <c r="K82" s="21">
        <f>K$26*Assumptions!$F$102*Assumptions!$F$173*K$18</f>
        <v/>
      </c>
      <c r="L82" s="53">
        <f>L$26*Assumptions!$F$102*Assumptions!$F$173*L$18</f>
        <v/>
      </c>
      <c r="M82" s="21">
        <f>SUM(B82:K82)</f>
        <v/>
      </c>
      <c r="N82" s="54" t="inlineStr">
        <is>
          <t>Retreat guest-nights x F&amp;B per guest x cost of sales</t>
        </is>
      </c>
    </row>
    <row r="83">
      <c r="A83" s="37" t="inlineStr">
        <is>
          <t>Program weekend facilitators and direct costs</t>
        </is>
      </c>
      <c r="B83" s="21">
        <f>B$49*Assumptions!$F$170</f>
        <v/>
      </c>
      <c r="C83" s="21">
        <f>C$49*Assumptions!$F$170</f>
        <v/>
      </c>
      <c r="D83" s="21">
        <f>D$49*Assumptions!$F$170</f>
        <v/>
      </c>
      <c r="E83" s="21">
        <f>E$49*Assumptions!$F$170</f>
        <v/>
      </c>
      <c r="F83" s="21">
        <f>F$49*Assumptions!$F$170</f>
        <v/>
      </c>
      <c r="G83" s="21">
        <f>G$49*Assumptions!$F$170</f>
        <v/>
      </c>
      <c r="H83" s="21">
        <f>H$49*Assumptions!$F$170</f>
        <v/>
      </c>
      <c r="I83" s="21">
        <f>I$49*Assumptions!$F$170</f>
        <v/>
      </c>
      <c r="J83" s="21">
        <f>J$49*Assumptions!$F$170</f>
        <v/>
      </c>
      <c r="K83" s="21">
        <f>K$49*Assumptions!$F$170</f>
        <v/>
      </c>
      <c r="L83" s="53">
        <f>L$49*Assumptions!$F$170</f>
        <v/>
      </c>
      <c r="M83" s="21">
        <f>SUM(B83:K83)</f>
        <v/>
      </c>
    </row>
    <row r="84">
      <c r="A84" s="37" t="inlineStr">
        <is>
          <t>Takeover event costs (crew, security, shuttles)</t>
        </is>
      </c>
      <c r="B84" s="21">
        <f>B$50*Assumptions!$F$171</f>
        <v/>
      </c>
      <c r="C84" s="21">
        <f>C$50*Assumptions!$F$171</f>
        <v/>
      </c>
      <c r="D84" s="21">
        <f>D$50*Assumptions!$F$171</f>
        <v/>
      </c>
      <c r="E84" s="21">
        <f>E$50*Assumptions!$F$171</f>
        <v/>
      </c>
      <c r="F84" s="21">
        <f>F$50*Assumptions!$F$171</f>
        <v/>
      </c>
      <c r="G84" s="21">
        <f>G$50*Assumptions!$F$171</f>
        <v/>
      </c>
      <c r="H84" s="21">
        <f>H$50*Assumptions!$F$171</f>
        <v/>
      </c>
      <c r="I84" s="21">
        <f>I$50*Assumptions!$F$171</f>
        <v/>
      </c>
      <c r="J84" s="21">
        <f>J$50*Assumptions!$F$171</f>
        <v/>
      </c>
      <c r="K84" s="21">
        <f>K$50*Assumptions!$F$171</f>
        <v/>
      </c>
      <c r="L84" s="53">
        <f>L$50*Assumptions!$F$171</f>
        <v/>
      </c>
      <c r="M84" s="21">
        <f>SUM(B84:K84)</f>
        <v/>
      </c>
    </row>
    <row r="85">
      <c r="A85" s="37" t="inlineStr">
        <is>
          <t>Workshop teachers and materials</t>
        </is>
      </c>
      <c r="B85" s="21">
        <f>B$54*Assumptions!$F$172</f>
        <v/>
      </c>
      <c r="C85" s="21">
        <f>C$54*Assumptions!$F$172</f>
        <v/>
      </c>
      <c r="D85" s="21">
        <f>D$54*Assumptions!$F$172</f>
        <v/>
      </c>
      <c r="E85" s="21">
        <f>E$54*Assumptions!$F$172</f>
        <v/>
      </c>
      <c r="F85" s="21">
        <f>F$54*Assumptions!$F$172</f>
        <v/>
      </c>
      <c r="G85" s="21">
        <f>G$54*Assumptions!$F$172</f>
        <v/>
      </c>
      <c r="H85" s="21">
        <f>H$54*Assumptions!$F$172</f>
        <v/>
      </c>
      <c r="I85" s="21">
        <f>I$54*Assumptions!$F$172</f>
        <v/>
      </c>
      <c r="J85" s="21">
        <f>J$54*Assumptions!$F$172</f>
        <v/>
      </c>
      <c r="K85" s="21">
        <f>K$54*Assumptions!$F$172</f>
        <v/>
      </c>
      <c r="L85" s="53">
        <f>L$54*Assumptions!$F$172</f>
        <v/>
      </c>
      <c r="M85" s="21">
        <f>SUM(B85:K85)</f>
        <v/>
      </c>
    </row>
    <row r="86">
      <c r="A86" s="37" t="inlineStr">
        <is>
          <t>Food and beverage cost of sales</t>
        </is>
      </c>
      <c r="B86" s="21">
        <f>B$47*Assumptions!$F$173</f>
        <v/>
      </c>
      <c r="C86" s="21">
        <f>C$47*Assumptions!$F$173</f>
        <v/>
      </c>
      <c r="D86" s="21">
        <f>D$47*Assumptions!$F$173</f>
        <v/>
      </c>
      <c r="E86" s="21">
        <f>E$47*Assumptions!$F$173</f>
        <v/>
      </c>
      <c r="F86" s="21">
        <f>F$47*Assumptions!$F$173</f>
        <v/>
      </c>
      <c r="G86" s="21">
        <f>G$47*Assumptions!$F$173</f>
        <v/>
      </c>
      <c r="H86" s="21">
        <f>H$47*Assumptions!$F$173</f>
        <v/>
      </c>
      <c r="I86" s="21">
        <f>I$47*Assumptions!$F$173</f>
        <v/>
      </c>
      <c r="J86" s="21">
        <f>J$47*Assumptions!$F$173</f>
        <v/>
      </c>
      <c r="K86" s="21">
        <f>K$47*Assumptions!$F$173</f>
        <v/>
      </c>
      <c r="L86" s="53">
        <f>L$47*Assumptions!$F$173</f>
        <v/>
      </c>
      <c r="M86" s="21">
        <f>SUM(B86:K86)</f>
        <v/>
      </c>
    </row>
    <row r="87">
      <c r="A87" s="37" t="inlineStr">
        <is>
          <t>Cabin supplies, linens and laundry</t>
        </is>
      </c>
      <c r="B87" s="21">
        <f>B$39*Assumptions!$F$174*B$18</f>
        <v/>
      </c>
      <c r="C87" s="21">
        <f>C$39*Assumptions!$F$174*C$18</f>
        <v/>
      </c>
      <c r="D87" s="21">
        <f>D$39*Assumptions!$F$174*D$18</f>
        <v/>
      </c>
      <c r="E87" s="21">
        <f>E$39*Assumptions!$F$174*E$18</f>
        <v/>
      </c>
      <c r="F87" s="21">
        <f>F$39*Assumptions!$F$174*F$18</f>
        <v/>
      </c>
      <c r="G87" s="21">
        <f>G$39*Assumptions!$F$174*G$18</f>
        <v/>
      </c>
      <c r="H87" s="21">
        <f>H$39*Assumptions!$F$174*H$18</f>
        <v/>
      </c>
      <c r="I87" s="21">
        <f>I$39*Assumptions!$F$174*I$18</f>
        <v/>
      </c>
      <c r="J87" s="21">
        <f>J$39*Assumptions!$F$174*J$18</f>
        <v/>
      </c>
      <c r="K87" s="21">
        <f>K$39*Assumptions!$F$174*K$18</f>
        <v/>
      </c>
      <c r="L87" s="53">
        <f>L$39*Assumptions!$F$174*L$18</f>
        <v/>
      </c>
      <c r="M87" s="21">
        <f>SUM(B87:K87)</f>
        <v/>
      </c>
    </row>
    <row r="88">
      <c r="A88" s="37" t="inlineStr">
        <is>
          <t>Gallery program and conservation</t>
        </is>
      </c>
      <c r="B88" s="21">
        <f>Assumptions!$F$164*B$10*B$18</f>
        <v/>
      </c>
      <c r="C88" s="21">
        <f>Assumptions!$F$164*C$10*C$18</f>
        <v/>
      </c>
      <c r="D88" s="21">
        <f>Assumptions!$F$164*D$10*D$18</f>
        <v/>
      </c>
      <c r="E88" s="21">
        <f>Assumptions!$F$164*E$10*E$18</f>
        <v/>
      </c>
      <c r="F88" s="21">
        <f>Assumptions!$F$164*F$10*F$18</f>
        <v/>
      </c>
      <c r="G88" s="21">
        <f>Assumptions!$F$164*G$10*G$18</f>
        <v/>
      </c>
      <c r="H88" s="21">
        <f>Assumptions!$F$164*H$10*H$18</f>
        <v/>
      </c>
      <c r="I88" s="21">
        <f>Assumptions!$F$164*I$10*I$18</f>
        <v/>
      </c>
      <c r="J88" s="21">
        <f>Assumptions!$F$164*J$10*J$18</f>
        <v/>
      </c>
      <c r="K88" s="21">
        <f>Assumptions!$F$164*K$10*K$18</f>
        <v/>
      </c>
      <c r="L88" s="53">
        <f>Assumptions!$F$164*L$10*L$18</f>
        <v/>
      </c>
      <c r="M88" s="21">
        <f>SUM(B88:K88)</f>
        <v/>
      </c>
    </row>
    <row r="89">
      <c r="A89" s="37" t="inlineStr">
        <is>
          <t>Utilities</t>
        </is>
      </c>
      <c r="B89" s="21">
        <f>(Assumptions!$F$175*B$8+Assumptions!$F$176*B$9+Assumptions!$F$177*B$10)*B$18</f>
        <v/>
      </c>
      <c r="C89" s="21">
        <f>(Assumptions!$F$175*C$8+Assumptions!$F$176*C$9+Assumptions!$F$177*C$10)*C$18</f>
        <v/>
      </c>
      <c r="D89" s="21">
        <f>(Assumptions!$F$175*D$8+Assumptions!$F$176*D$9+Assumptions!$F$177*D$10)*D$18</f>
        <v/>
      </c>
      <c r="E89" s="21">
        <f>(Assumptions!$F$175*E$8+Assumptions!$F$176*E$9+Assumptions!$F$177*E$10)*E$18</f>
        <v/>
      </c>
      <c r="F89" s="21">
        <f>(Assumptions!$F$175*F$8+Assumptions!$F$176*F$9+Assumptions!$F$177*F$10)*F$18</f>
        <v/>
      </c>
      <c r="G89" s="21">
        <f>(Assumptions!$F$175*G$8+Assumptions!$F$176*G$9+Assumptions!$F$177*G$10)*G$18</f>
        <v/>
      </c>
      <c r="H89" s="21">
        <f>(Assumptions!$F$175*H$8+Assumptions!$F$176*H$9+Assumptions!$F$177*H$10)*H$18</f>
        <v/>
      </c>
      <c r="I89" s="21">
        <f>(Assumptions!$F$175*I$8+Assumptions!$F$176*I$9+Assumptions!$F$177*I$10)*I$18</f>
        <v/>
      </c>
      <c r="J89" s="21">
        <f>(Assumptions!$F$175*J$8+Assumptions!$F$176*J$9+Assumptions!$F$177*J$10)*J$18</f>
        <v/>
      </c>
      <c r="K89" s="21">
        <f>(Assumptions!$F$175*K$8+Assumptions!$F$176*K$9+Assumptions!$F$177*K$10)*K$18</f>
        <v/>
      </c>
      <c r="L89" s="53">
        <f>(Assumptions!$F$175*L$8+Assumptions!$F$176*L$9+Assumptions!$F$177*L$10)*L$18</f>
        <v/>
      </c>
      <c r="M89" s="21">
        <f>SUM(B89:K89)</f>
        <v/>
      </c>
    </row>
    <row r="90">
      <c r="A90" s="37" t="inlineStr">
        <is>
          <t>Repairs and maintenance</t>
        </is>
      </c>
      <c r="B90" s="21">
        <f>Assumptions!$F$178*B$43*B$18</f>
        <v/>
      </c>
      <c r="C90" s="21">
        <f>Assumptions!$F$178*C$43*C$18</f>
        <v/>
      </c>
      <c r="D90" s="21">
        <f>Assumptions!$F$178*D$43*D$18</f>
        <v/>
      </c>
      <c r="E90" s="21">
        <f>Assumptions!$F$178*E$43*E$18</f>
        <v/>
      </c>
      <c r="F90" s="21">
        <f>Assumptions!$F$178*F$43*F$18</f>
        <v/>
      </c>
      <c r="G90" s="21">
        <f>Assumptions!$F$178*G$43*G$18</f>
        <v/>
      </c>
      <c r="H90" s="21">
        <f>Assumptions!$F$178*H$43*H$18</f>
        <v/>
      </c>
      <c r="I90" s="21">
        <f>Assumptions!$F$178*I$43*I$18</f>
        <v/>
      </c>
      <c r="J90" s="21">
        <f>Assumptions!$F$178*J$43*J$18</f>
        <v/>
      </c>
      <c r="K90" s="21">
        <f>Assumptions!$F$178*K$43*K$18</f>
        <v/>
      </c>
      <c r="L90" s="53">
        <f>Assumptions!$F$178*L$43*L$18</f>
        <v/>
      </c>
      <c r="M90" s="21">
        <f>SUM(B90:K90)</f>
        <v/>
      </c>
    </row>
    <row r="91">
      <c r="A91" s="37" t="inlineStr">
        <is>
          <t>Property and wildfire insurance (very high fire hazard zone)</t>
        </is>
      </c>
      <c r="B91" s="21">
        <f>Assumptions!$F$179*B$43*B$18</f>
        <v/>
      </c>
      <c r="C91" s="21">
        <f>Assumptions!$F$179*C$43*C$18</f>
        <v/>
      </c>
      <c r="D91" s="21">
        <f>Assumptions!$F$179*D$43*D$18</f>
        <v/>
      </c>
      <c r="E91" s="21">
        <f>Assumptions!$F$179*E$43*E$18</f>
        <v/>
      </c>
      <c r="F91" s="21">
        <f>Assumptions!$F$179*F$43*F$18</f>
        <v/>
      </c>
      <c r="G91" s="21">
        <f>Assumptions!$F$179*G$43*G$18</f>
        <v/>
      </c>
      <c r="H91" s="21">
        <f>Assumptions!$F$179*H$43*H$18</f>
        <v/>
      </c>
      <c r="I91" s="21">
        <f>Assumptions!$F$179*I$43*I$18</f>
        <v/>
      </c>
      <c r="J91" s="21">
        <f>Assumptions!$F$179*J$43*J$18</f>
        <v/>
      </c>
      <c r="K91" s="21">
        <f>Assumptions!$F$179*K$43*K$18</f>
        <v/>
      </c>
      <c r="L91" s="53">
        <f>Assumptions!$F$179*L$43*L$18</f>
        <v/>
      </c>
      <c r="M91" s="21">
        <f>SUM(B91:K91)</f>
        <v/>
      </c>
      <c r="N91" s="54" t="inlineStr">
        <is>
          <t>Very high fire hazard zone; broker quote needed</t>
        </is>
      </c>
    </row>
    <row r="92">
      <c r="A92" s="37" t="inlineStr">
        <is>
          <t>Liability, liquor, events, D&amp;O (and land before opening)</t>
        </is>
      </c>
      <c r="B92" s="21">
        <f>(Assumptions!$F$180*B$8+Assumptions!$F$181*B$11*B$13)*B$18</f>
        <v/>
      </c>
      <c r="C92" s="21">
        <f>(Assumptions!$F$180*C$8+Assumptions!$F$181*C$11*C$13)*C$18</f>
        <v/>
      </c>
      <c r="D92" s="21">
        <f>(Assumptions!$F$180*D$8+Assumptions!$F$181*D$11*D$13)*D$18</f>
        <v/>
      </c>
      <c r="E92" s="21">
        <f>(Assumptions!$F$180*E$8+Assumptions!$F$181*E$11*E$13)*E$18</f>
        <v/>
      </c>
      <c r="F92" s="21">
        <f>(Assumptions!$F$180*F$8+Assumptions!$F$181*F$11*F$13)*F$18</f>
        <v/>
      </c>
      <c r="G92" s="21">
        <f>(Assumptions!$F$180*G$8+Assumptions!$F$181*G$11*G$13)*G$18</f>
        <v/>
      </c>
      <c r="H92" s="21">
        <f>(Assumptions!$F$180*H$8+Assumptions!$F$181*H$11*H$13)*H$18</f>
        <v/>
      </c>
      <c r="I92" s="21">
        <f>(Assumptions!$F$180*I$8+Assumptions!$F$181*I$11*I$13)*I$18</f>
        <v/>
      </c>
      <c r="J92" s="21">
        <f>(Assumptions!$F$180*J$8+Assumptions!$F$181*J$11*J$13)*J$18</f>
        <v/>
      </c>
      <c r="K92" s="21">
        <f>(Assumptions!$F$180*K$8+Assumptions!$F$181*K$11*K$13)*K$18</f>
        <v/>
      </c>
      <c r="L92" s="53">
        <f>(Assumptions!$F$180*L$8+Assumptions!$F$181*L$11*L$13)*L$18</f>
        <v/>
      </c>
      <c r="M92" s="21">
        <f>SUM(B92:K92)</f>
        <v/>
      </c>
    </row>
    <row r="93">
      <c r="A93" s="37" t="inlineStr">
        <is>
          <t>Property tax (incl. fixed charges)</t>
        </is>
      </c>
      <c r="B93" s="21">
        <f>Assumptions!$F$182*B$44*(1-Assumptions!$F$184)+Assumptions!$F$183*B$13</f>
        <v/>
      </c>
      <c r="C93" s="21">
        <f>Assumptions!$F$182*C$44*(1-Assumptions!$F$184)+Assumptions!$F$183*C$13</f>
        <v/>
      </c>
      <c r="D93" s="21">
        <f>Assumptions!$F$182*D$44*(1-Assumptions!$F$184)+Assumptions!$F$183*D$13</f>
        <v/>
      </c>
      <c r="E93" s="21">
        <f>Assumptions!$F$182*E$44*(1-Assumptions!$F$184)+Assumptions!$F$183*E$13</f>
        <v/>
      </c>
      <c r="F93" s="21">
        <f>Assumptions!$F$182*F$44*(1-Assumptions!$F$184)+Assumptions!$F$183*F$13</f>
        <v/>
      </c>
      <c r="G93" s="21">
        <f>Assumptions!$F$182*G$44*(1-Assumptions!$F$184)+Assumptions!$F$183*G$13</f>
        <v/>
      </c>
      <c r="H93" s="21">
        <f>Assumptions!$F$182*H$44*(1-Assumptions!$F$184)+Assumptions!$F$183*H$13</f>
        <v/>
      </c>
      <c r="I93" s="21">
        <f>Assumptions!$F$182*I$44*(1-Assumptions!$F$184)+Assumptions!$F$183*I$13</f>
        <v/>
      </c>
      <c r="J93" s="21">
        <f>Assumptions!$F$182*J$44*(1-Assumptions!$F$184)+Assumptions!$F$183*J$13</f>
        <v/>
      </c>
      <c r="K93" s="21">
        <f>Assumptions!$F$182*K$44*(1-Assumptions!$F$184)+Assumptions!$F$183*K$13</f>
        <v/>
      </c>
      <c r="L93" s="53">
        <f>Assumptions!$F$182*L$44*(1-Assumptions!$F$184)+Assumptions!$F$183*L$13</f>
        <v/>
      </c>
      <c r="M93" s="21">
        <f>SUM(B93:K93)</f>
        <v/>
      </c>
      <c r="N93" s="54" t="inlineStr">
        <is>
          <t>Taxable under the draft hybrid; welfare exemption is a lever</t>
        </is>
      </c>
    </row>
    <row r="94">
      <c r="A94" s="37" t="inlineStr">
        <is>
          <t>Marketing and sales</t>
        </is>
      </c>
      <c r="B94" s="21">
        <f>Assumptions!$F$185*B$8*B$18</f>
        <v/>
      </c>
      <c r="C94" s="21">
        <f>Assumptions!$F$185*C$8*C$18</f>
        <v/>
      </c>
      <c r="D94" s="21">
        <f>Assumptions!$F$185*D$8*D$18</f>
        <v/>
      </c>
      <c r="E94" s="21">
        <f>Assumptions!$F$185*E$8*E$18</f>
        <v/>
      </c>
      <c r="F94" s="21">
        <f>Assumptions!$F$185*F$8*F$18</f>
        <v/>
      </c>
      <c r="G94" s="21">
        <f>Assumptions!$F$185*G$8*G$18</f>
        <v/>
      </c>
      <c r="H94" s="21">
        <f>Assumptions!$F$185*H$8*H$18</f>
        <v/>
      </c>
      <c r="I94" s="21">
        <f>Assumptions!$F$185*I$8*I$18</f>
        <v/>
      </c>
      <c r="J94" s="21">
        <f>Assumptions!$F$185*J$8*J$18</f>
        <v/>
      </c>
      <c r="K94" s="21">
        <f>Assumptions!$F$185*K$8*K$18</f>
        <v/>
      </c>
      <c r="L94" s="53">
        <f>Assumptions!$F$185*L$8*L$18</f>
        <v/>
      </c>
      <c r="M94" s="21">
        <f>SUM(B94:K94)</f>
        <v/>
      </c>
    </row>
    <row r="95">
      <c r="A95" s="37" t="inlineStr">
        <is>
          <t>General and administrative (legal, audit, IT, office)</t>
        </is>
      </c>
      <c r="B95" s="21">
        <f>Assumptions!$F$186*B$8*B$18</f>
        <v/>
      </c>
      <c r="C95" s="21">
        <f>Assumptions!$F$186*C$8*C$18</f>
        <v/>
      </c>
      <c r="D95" s="21">
        <f>Assumptions!$F$186*D$8*D$18</f>
        <v/>
      </c>
      <c r="E95" s="21">
        <f>Assumptions!$F$186*E$8*E$18</f>
        <v/>
      </c>
      <c r="F95" s="21">
        <f>Assumptions!$F$186*F$8*F$18</f>
        <v/>
      </c>
      <c r="G95" s="21">
        <f>Assumptions!$F$186*G$8*G$18</f>
        <v/>
      </c>
      <c r="H95" s="21">
        <f>Assumptions!$F$186*H$8*H$18</f>
        <v/>
      </c>
      <c r="I95" s="21">
        <f>Assumptions!$F$186*I$8*I$18</f>
        <v/>
      </c>
      <c r="J95" s="21">
        <f>Assumptions!$F$186*J$8*J$18</f>
        <v/>
      </c>
      <c r="K95" s="21">
        <f>Assumptions!$F$186*K$8*K$18</f>
        <v/>
      </c>
      <c r="L95" s="53">
        <f>Assumptions!$F$186*L$8*L$18</f>
        <v/>
      </c>
      <c r="M95" s="21">
        <f>SUM(B95:K95)</f>
        <v/>
      </c>
    </row>
    <row r="96">
      <c r="A96" s="37" t="inlineStr">
        <is>
          <t>Payment and booking fees</t>
        </is>
      </c>
      <c r="B96" s="21">
        <f>B$58*Assumptions!$F$187</f>
        <v/>
      </c>
      <c r="C96" s="21">
        <f>C$58*Assumptions!$F$187</f>
        <v/>
      </c>
      <c r="D96" s="21">
        <f>D$58*Assumptions!$F$187</f>
        <v/>
      </c>
      <c r="E96" s="21">
        <f>E$58*Assumptions!$F$187</f>
        <v/>
      </c>
      <c r="F96" s="21">
        <f>F$58*Assumptions!$F$187</f>
        <v/>
      </c>
      <c r="G96" s="21">
        <f>G$58*Assumptions!$F$187</f>
        <v/>
      </c>
      <c r="H96" s="21">
        <f>H$58*Assumptions!$F$187</f>
        <v/>
      </c>
      <c r="I96" s="21">
        <f>I$58*Assumptions!$F$187</f>
        <v/>
      </c>
      <c r="J96" s="21">
        <f>J$58*Assumptions!$F$187</f>
        <v/>
      </c>
      <c r="K96" s="21">
        <f>K$58*Assumptions!$F$187</f>
        <v/>
      </c>
      <c r="L96" s="53">
        <f>L$58*Assumptions!$F$187</f>
        <v/>
      </c>
      <c r="M96" s="21">
        <f>SUM(B96:K96)</f>
        <v/>
      </c>
    </row>
    <row r="97">
      <c r="A97" s="37" t="inlineStr">
        <is>
          <t>Replacement reserve (cabins, gear)</t>
        </is>
      </c>
      <c r="B97" s="21">
        <f>B$58*Assumptions!$F$188</f>
        <v/>
      </c>
      <c r="C97" s="21">
        <f>C$58*Assumptions!$F$188</f>
        <v/>
      </c>
      <c r="D97" s="21">
        <f>D$58*Assumptions!$F$188</f>
        <v/>
      </c>
      <c r="E97" s="21">
        <f>E$58*Assumptions!$F$188</f>
        <v/>
      </c>
      <c r="F97" s="21">
        <f>F$58*Assumptions!$F$188</f>
        <v/>
      </c>
      <c r="G97" s="21">
        <f>G$58*Assumptions!$F$188</f>
        <v/>
      </c>
      <c r="H97" s="21">
        <f>H$58*Assumptions!$F$188</f>
        <v/>
      </c>
      <c r="I97" s="21">
        <f>I$58*Assumptions!$F$188</f>
        <v/>
      </c>
      <c r="J97" s="21">
        <f>J$58*Assumptions!$F$188</f>
        <v/>
      </c>
      <c r="K97" s="21">
        <f>K$58*Assumptions!$F$188</f>
        <v/>
      </c>
      <c r="L97" s="53">
        <f>L$58*Assumptions!$F$188</f>
        <v/>
      </c>
      <c r="M97" s="21">
        <f>SUM(B97:K97)</f>
        <v/>
      </c>
    </row>
    <row r="98">
      <c r="A98" s="37" t="inlineStr">
        <is>
          <t>Stage 0 pilot program (pilot residencies, pop-ups)</t>
        </is>
      </c>
      <c r="B98" s="21">
        <f>Assumptions!$F$165*B$11*B$18</f>
        <v/>
      </c>
      <c r="C98" s="21">
        <f>Assumptions!$F$165*C$11*C$18</f>
        <v/>
      </c>
      <c r="D98" s="21">
        <f>Assumptions!$F$165*D$11*D$18</f>
        <v/>
      </c>
      <c r="E98" s="21">
        <f>Assumptions!$F$165*E$11*E$18</f>
        <v/>
      </c>
      <c r="F98" s="21">
        <f>Assumptions!$F$165*F$11*F$18</f>
        <v/>
      </c>
      <c r="G98" s="21">
        <f>Assumptions!$F$165*G$11*G$18</f>
        <v/>
      </c>
      <c r="H98" s="21">
        <f>Assumptions!$F$165*H$11*H$18</f>
        <v/>
      </c>
      <c r="I98" s="21">
        <f>Assumptions!$F$165*I$11*I$18</f>
        <v/>
      </c>
      <c r="J98" s="21">
        <f>Assumptions!$F$165*J$11*J$18</f>
        <v/>
      </c>
      <c r="K98" s="21">
        <f>Assumptions!$F$165*K$11*K$18</f>
        <v/>
      </c>
      <c r="L98" s="53">
        <f>Assumptions!$F$165*L$11*L$18</f>
        <v/>
      </c>
      <c r="M98" s="21">
        <f>SUM(B98:K98)</f>
        <v/>
      </c>
    </row>
    <row r="99">
      <c r="A99" s="61" t="inlineStr">
        <is>
          <t>TOTAL OPERATING EXPENSES</t>
        </is>
      </c>
      <c r="B99" s="62">
        <f>B$76+SUM(B77:B98)</f>
        <v/>
      </c>
      <c r="C99" s="62">
        <f>C$76+SUM(C77:C98)</f>
        <v/>
      </c>
      <c r="D99" s="62">
        <f>D$76+SUM(D77:D98)</f>
        <v/>
      </c>
      <c r="E99" s="62">
        <f>E$76+SUM(E77:E98)</f>
        <v/>
      </c>
      <c r="F99" s="62">
        <f>F$76+SUM(F77:F98)</f>
        <v/>
      </c>
      <c r="G99" s="62">
        <f>G$76+SUM(G77:G98)</f>
        <v/>
      </c>
      <c r="H99" s="62">
        <f>H$76+SUM(H77:H98)</f>
        <v/>
      </c>
      <c r="I99" s="62">
        <f>I$76+SUM(I77:I98)</f>
        <v/>
      </c>
      <c r="J99" s="62">
        <f>J$76+SUM(J77:J98)</f>
        <v/>
      </c>
      <c r="K99" s="62">
        <f>K$76+SUM(K77:K98)</f>
        <v/>
      </c>
      <c r="L99" s="63">
        <f>L$76+SUM(L77:L98)</f>
        <v/>
      </c>
      <c r="M99" s="62">
        <f>SUM(B99:K99)</f>
        <v/>
      </c>
    </row>
    <row r="100">
      <c r="A100" s="7" t="inlineStr">
        <is>
          <t>RESULTS</t>
        </is>
      </c>
      <c r="B100" s="8" t="n"/>
      <c r="C100" s="8" t="n"/>
      <c r="D100" s="8" t="n"/>
      <c r="E100" s="8" t="n"/>
      <c r="F100" s="8" t="n"/>
      <c r="G100" s="8" t="n"/>
      <c r="H100" s="8" t="n"/>
      <c r="I100" s="8" t="n"/>
      <c r="J100" s="8" t="n"/>
      <c r="K100" s="8" t="n"/>
      <c r="L100" s="8" t="n"/>
      <c r="M100" s="8" t="n"/>
      <c r="N100" s="8" t="n"/>
    </row>
    <row r="101">
      <c r="A101" s="61" t="inlineStr">
        <is>
          <t>NET OPERATING RESULT, earned revenue only (EBITDA)</t>
        </is>
      </c>
      <c r="B101" s="62">
        <f>B$58-B$99</f>
        <v/>
      </c>
      <c r="C101" s="62">
        <f>C$58-C$99</f>
        <v/>
      </c>
      <c r="D101" s="62">
        <f>D$58-D$99</f>
        <v/>
      </c>
      <c r="E101" s="62">
        <f>E$58-E$99</f>
        <v/>
      </c>
      <c r="F101" s="62">
        <f>F$58-F$99</f>
        <v/>
      </c>
      <c r="G101" s="62">
        <f>G$58-G$99</f>
        <v/>
      </c>
      <c r="H101" s="62">
        <f>H$58-H$99</f>
        <v/>
      </c>
      <c r="I101" s="62">
        <f>I$58-I$99</f>
        <v/>
      </c>
      <c r="J101" s="62">
        <f>J$58-J$99</f>
        <v/>
      </c>
      <c r="K101" s="62">
        <f>K$58-K$99</f>
        <v/>
      </c>
      <c r="L101" s="63">
        <f>L$58-L$99</f>
        <v/>
      </c>
      <c r="M101" s="62">
        <f>SUM(B101:K101)</f>
        <v/>
      </c>
    </row>
    <row r="102">
      <c r="A102" s="61" t="inlineStr">
        <is>
          <t>NET RESULT AFTER CONTRIBUTED INCOME</t>
        </is>
      </c>
      <c r="B102" s="62">
        <f>B$101+B$64</f>
        <v/>
      </c>
      <c r="C102" s="62">
        <f>C$101+C$64</f>
        <v/>
      </c>
      <c r="D102" s="62">
        <f>D$101+D$64</f>
        <v/>
      </c>
      <c r="E102" s="62">
        <f>E$101+E$64</f>
        <v/>
      </c>
      <c r="F102" s="62">
        <f>F$101+F$64</f>
        <v/>
      </c>
      <c r="G102" s="62">
        <f>G$101+G$64</f>
        <v/>
      </c>
      <c r="H102" s="62">
        <f>H$101+H$64</f>
        <v/>
      </c>
      <c r="I102" s="62">
        <f>I$101+I$64</f>
        <v/>
      </c>
      <c r="J102" s="62">
        <f>J$101+J$64</f>
        <v/>
      </c>
      <c r="K102" s="62">
        <f>K$101+K$64</f>
        <v/>
      </c>
      <c r="L102" s="63">
        <f>L$101+L$64</f>
        <v/>
      </c>
      <c r="M102" s="62">
        <f>SUM(B102:K102)</f>
        <v/>
      </c>
    </row>
    <row r="103">
      <c r="A103" s="37" t="inlineStr">
        <is>
          <t>Capital and pre-opening uses (Capex sheet)</t>
        </is>
      </c>
      <c r="B103" s="21">
        <f>Capex!D46</f>
        <v/>
      </c>
      <c r="C103" s="21">
        <f>Capex!E46</f>
        <v/>
      </c>
      <c r="D103" s="21">
        <f>Capex!F46</f>
        <v/>
      </c>
      <c r="E103" s="21">
        <f>Capex!G46</f>
        <v/>
      </c>
      <c r="F103" s="21">
        <f>Capex!H46</f>
        <v/>
      </c>
      <c r="G103" s="21">
        <f>Capex!I46</f>
        <v/>
      </c>
      <c r="H103" s="21">
        <f>Capex!J46</f>
        <v/>
      </c>
      <c r="I103" s="21">
        <f>Capex!K46</f>
        <v/>
      </c>
      <c r="J103" s="21">
        <f>Capex!L46</f>
        <v/>
      </c>
      <c r="K103" s="21">
        <f>Capex!M46</f>
        <v/>
      </c>
      <c r="M103" s="21">
        <f>SUM(B103:K103)</f>
        <v/>
      </c>
      <c r="N103" s="54" t="inlineStr">
        <is>
          <t>From the Capex sheet; land, build, pre-opening, overhead</t>
        </is>
      </c>
    </row>
    <row r="104">
      <c r="A104" s="37" t="inlineStr">
        <is>
          <t>Net cash flow before financing</t>
        </is>
      </c>
      <c r="B104" s="21">
        <f>B$102-B$103</f>
        <v/>
      </c>
      <c r="C104" s="21">
        <f>C$102-C$103</f>
        <v/>
      </c>
      <c r="D104" s="21">
        <f>D$102-D$103</f>
        <v/>
      </c>
      <c r="E104" s="21">
        <f>E$102-E$103</f>
        <v/>
      </c>
      <c r="F104" s="21">
        <f>F$102-F$103</f>
        <v/>
      </c>
      <c r="G104" s="21">
        <f>G$102-G$103</f>
        <v/>
      </c>
      <c r="H104" s="21">
        <f>H$102-H$103</f>
        <v/>
      </c>
      <c r="I104" s="21">
        <f>I$102-I$103</f>
        <v/>
      </c>
      <c r="J104" s="21">
        <f>J$102-J$103</f>
        <v/>
      </c>
      <c r="K104" s="21">
        <f>K$102-K$103</f>
        <v/>
      </c>
      <c r="M104" s="21">
        <f>SUM(B104:K104)</f>
        <v/>
      </c>
    </row>
    <row r="105">
      <c r="A105" s="61" t="inlineStr">
        <is>
          <t>CUMULATIVE CASH BEFORE FINANCING</t>
        </is>
      </c>
      <c r="B105" s="62">
        <f>B$104</f>
        <v/>
      </c>
      <c r="C105" s="62">
        <f>B105+C$104</f>
        <v/>
      </c>
      <c r="D105" s="62">
        <f>C105+D$104</f>
        <v/>
      </c>
      <c r="E105" s="62">
        <f>D105+E$104</f>
        <v/>
      </c>
      <c r="F105" s="62">
        <f>E105+F$104</f>
        <v/>
      </c>
      <c r="G105" s="62">
        <f>F105+G$104</f>
        <v/>
      </c>
      <c r="H105" s="62">
        <f>G105+H$104</f>
        <v/>
      </c>
      <c r="I105" s="62">
        <f>H105+I$104</f>
        <v/>
      </c>
      <c r="J105" s="62">
        <f>I105+J$104</f>
        <v/>
      </c>
      <c r="K105" s="62">
        <f>J105+K$104</f>
        <v/>
      </c>
      <c r="L105" s="68" t="n"/>
      <c r="M105" s="69" t="n"/>
      <c r="N105" s="54" t="inlineStr">
        <is>
          <t>Before debt, equity and gifts for capital</t>
        </is>
      </c>
    </row>
    <row r="106">
      <c r="A106" s="7" t="inlineStr">
        <is>
          <t>MEMO AND CHECKS</t>
        </is>
      </c>
      <c r="B106" s="8" t="n"/>
      <c r="C106" s="8" t="n"/>
      <c r="D106" s="8" t="n"/>
      <c r="E106" s="8" t="n"/>
      <c r="F106" s="8" t="n"/>
      <c r="G106" s="8" t="n"/>
      <c r="H106" s="8" t="n"/>
      <c r="I106" s="8" t="n"/>
      <c r="J106" s="8" t="n"/>
      <c r="K106" s="8" t="n"/>
      <c r="L106" s="8" t="n"/>
      <c r="M106" s="8" t="n"/>
      <c r="N106" s="8" t="n"/>
    </row>
    <row r="107">
      <c r="A107" s="37" t="inlineStr">
        <is>
          <t>TOT collected and remitted on billed cabin nights (memo, not revenue)</t>
        </is>
      </c>
      <c r="B107" s="21">
        <f>B$46*Assumptions!$F$103</f>
        <v/>
      </c>
      <c r="C107" s="21">
        <f>C$46*Assumptions!$F$103</f>
        <v/>
      </c>
      <c r="D107" s="21">
        <f>D$46*Assumptions!$F$103</f>
        <v/>
      </c>
      <c r="E107" s="21">
        <f>E$46*Assumptions!$F$103</f>
        <v/>
      </c>
      <c r="F107" s="21">
        <f>F$46*Assumptions!$F$103</f>
        <v/>
      </c>
      <c r="G107" s="21">
        <f>G$46*Assumptions!$F$103</f>
        <v/>
      </c>
      <c r="H107" s="21">
        <f>H$46*Assumptions!$F$103</f>
        <v/>
      </c>
      <c r="I107" s="21">
        <f>I$46*Assumptions!$F$103</f>
        <v/>
      </c>
      <c r="J107" s="21">
        <f>J$46*Assumptions!$F$103</f>
        <v/>
      </c>
      <c r="K107" s="21">
        <f>K$46*Assumptions!$F$103</f>
        <v/>
      </c>
      <c r="L107" s="53">
        <f>L$46*Assumptions!$F$103</f>
        <v/>
      </c>
      <c r="M107" s="21">
        <f>SUM(B107:K107)</f>
        <v/>
      </c>
    </row>
    <row r="108">
      <c r="A108" s="37" t="inlineStr">
        <is>
          <t>Billed cabin revenue per available cabin night (retreat lodging sits inside the all-in price)</t>
        </is>
      </c>
      <c r="B108" s="21">
        <f>IF(B$21&gt;0,B$46/B$21,0)</f>
        <v/>
      </c>
      <c r="C108" s="21">
        <f>IF(C$21&gt;0,C$46/C$21,0)</f>
        <v/>
      </c>
      <c r="D108" s="21">
        <f>IF(D$21&gt;0,D$46/D$21,0)</f>
        <v/>
      </c>
      <c r="E108" s="21">
        <f>IF(E$21&gt;0,E$46/E$21,0)</f>
        <v/>
      </c>
      <c r="F108" s="21">
        <f>IF(F$21&gt;0,F$46/F$21,0)</f>
        <v/>
      </c>
      <c r="G108" s="21">
        <f>IF(G$21&gt;0,G$46/G$21,0)</f>
        <v/>
      </c>
      <c r="H108" s="21">
        <f>IF(H$21&gt;0,H$46/H$21,0)</f>
        <v/>
      </c>
      <c r="I108" s="21">
        <f>IF(I$21&gt;0,I$46/I$21,0)</f>
        <v/>
      </c>
      <c r="J108" s="21">
        <f>IF(J$21&gt;0,J$46/J$21,0)</f>
        <v/>
      </c>
      <c r="K108" s="21">
        <f>IF(K$21&gt;0,K$46/K$21,0)</f>
        <v/>
      </c>
      <c r="L108" s="53">
        <f>IF(L$21&gt;0,L$46/L$21,0)</f>
        <v/>
      </c>
    </row>
    <row r="109">
      <c r="A109" s="37" t="inlineStr">
        <is>
          <t>Break-even test, earned only (year or 9999)</t>
        </is>
      </c>
      <c r="B109" s="21">
        <f>IF(AND(B$7&gt;=1,B$101&gt;=0),B$6,9999)</f>
        <v/>
      </c>
      <c r="C109" s="21">
        <f>IF(AND(C$7&gt;=1,C$101&gt;=0),C$6,9999)</f>
        <v/>
      </c>
      <c r="D109" s="21">
        <f>IF(AND(D$7&gt;=1,D$101&gt;=0),D$6,9999)</f>
        <v/>
      </c>
      <c r="E109" s="21">
        <f>IF(AND(E$7&gt;=1,E$101&gt;=0),E$6,9999)</f>
        <v/>
      </c>
      <c r="F109" s="21">
        <f>IF(AND(F$7&gt;=1,F$101&gt;=0),F$6,9999)</f>
        <v/>
      </c>
      <c r="G109" s="21">
        <f>IF(AND(G$7&gt;=1,G$101&gt;=0),G$6,9999)</f>
        <v/>
      </c>
      <c r="H109" s="21">
        <f>IF(AND(H$7&gt;=1,H$101&gt;=0),H$6,9999)</f>
        <v/>
      </c>
      <c r="I109" s="21">
        <f>IF(AND(I$7&gt;=1,I$101&gt;=0),I$6,9999)</f>
        <v/>
      </c>
      <c r="J109" s="21">
        <f>IF(AND(J$7&gt;=1,J$101&gt;=0),J$6,9999)</f>
        <v/>
      </c>
      <c r="K109" s="21">
        <f>IF(AND(K$7&gt;=1,K$101&gt;=0),K$6,9999)</f>
        <v/>
      </c>
    </row>
    <row r="110">
      <c r="A110" s="37" t="inlineStr">
        <is>
          <t>Break-even test, after contributed (year or 9999)</t>
        </is>
      </c>
      <c r="B110" s="21">
        <f>IF(AND(B$7&gt;=1,B$102&gt;=0),B$6,9999)</f>
        <v/>
      </c>
      <c r="C110" s="21">
        <f>IF(AND(C$7&gt;=1,C$102&gt;=0),C$6,9999)</f>
        <v/>
      </c>
      <c r="D110" s="21">
        <f>IF(AND(D$7&gt;=1,D$102&gt;=0),D$6,9999)</f>
        <v/>
      </c>
      <c r="E110" s="21">
        <f>IF(AND(E$7&gt;=1,E$102&gt;=0),E$6,9999)</f>
        <v/>
      </c>
      <c r="F110" s="21">
        <f>IF(AND(F$7&gt;=1,F$102&gt;=0),F$6,9999)</f>
        <v/>
      </c>
      <c r="G110" s="21">
        <f>IF(AND(G$7&gt;=1,G$102&gt;=0),G$6,9999)</f>
        <v/>
      </c>
      <c r="H110" s="21">
        <f>IF(AND(H$7&gt;=1,H$102&gt;=0),H$6,9999)</f>
        <v/>
      </c>
      <c r="I110" s="21">
        <f>IF(AND(I$7&gt;=1,I$102&gt;=0),I$6,9999)</f>
        <v/>
      </c>
      <c r="J110" s="21">
        <f>IF(AND(J$7&gt;=1,J$102&gt;=0),J$6,9999)</f>
        <v/>
      </c>
      <c r="K110" s="21">
        <f>IF(AND(K$7&gt;=1,K$102&gt;=0),K$6,9999)</f>
        <v/>
      </c>
    </row>
    <row r="111">
      <c r="A111" s="37" t="inlineStr">
        <is>
          <t>Check: large events within the assumed use-permit cap</t>
        </is>
      </c>
      <c r="B111" s="9">
        <f>IF(B$31&lt;=Assumptions!$F$128+0.0001,"OK","Over cap")</f>
        <v/>
      </c>
      <c r="C111" s="9">
        <f>IF(C$31&lt;=Assumptions!$F$128+0.0001,"OK","Over cap")</f>
        <v/>
      </c>
      <c r="D111" s="9">
        <f>IF(D$31&lt;=Assumptions!$F$128+0.0001,"OK","Over cap")</f>
        <v/>
      </c>
      <c r="E111" s="9">
        <f>IF(E$31&lt;=Assumptions!$F$128+0.0001,"OK","Over cap")</f>
        <v/>
      </c>
      <c r="F111" s="9">
        <f>IF(F$31&lt;=Assumptions!$F$128+0.0001,"OK","Over cap")</f>
        <v/>
      </c>
      <c r="G111" s="9">
        <f>IF(G$31&lt;=Assumptions!$F$128+0.0001,"OK","Over cap")</f>
        <v/>
      </c>
      <c r="H111" s="9">
        <f>IF(H$31&lt;=Assumptions!$F$128+0.0001,"OK","Over cap")</f>
        <v/>
      </c>
      <c r="I111" s="9">
        <f>IF(I$31&lt;=Assumptions!$F$128+0.0001,"OK","Over cap")</f>
        <v/>
      </c>
      <c r="J111" s="9">
        <f>IF(J$31&lt;=Assumptions!$F$128+0.0001,"OK","Over cap")</f>
        <v/>
      </c>
      <c r="K111" s="9">
        <f>IF(K$31&lt;=Assumptions!$F$128+0.0001,"OK","Over cap")</f>
        <v/>
      </c>
      <c r="L111" s="70">
        <f>IF(L$31&lt;=Assumptions!$F$128+0.0001,"OK","Over cap")</f>
        <v/>
      </c>
    </row>
    <row r="112">
      <c r="A112" s="37" t="inlineStr">
        <is>
          <t>Check: utilization at or below 85%</t>
        </is>
      </c>
      <c r="B112" s="9">
        <f>IF(B$40&lt;=0.85,"OK","Check")</f>
        <v/>
      </c>
      <c r="C112" s="9">
        <f>IF(C$40&lt;=0.85,"OK","Check")</f>
        <v/>
      </c>
      <c r="D112" s="9">
        <f>IF(D$40&lt;=0.85,"OK","Check")</f>
        <v/>
      </c>
      <c r="E112" s="9">
        <f>IF(E$40&lt;=0.85,"OK","Check")</f>
        <v/>
      </c>
      <c r="F112" s="9">
        <f>IF(F$40&lt;=0.85,"OK","Check")</f>
        <v/>
      </c>
      <c r="G112" s="9">
        <f>IF(G$40&lt;=0.85,"OK","Check")</f>
        <v/>
      </c>
      <c r="H112" s="9">
        <f>IF(H$40&lt;=0.85,"OK","Check")</f>
        <v/>
      </c>
      <c r="I112" s="9">
        <f>IF(I$40&lt;=0.85,"OK","Check")</f>
        <v/>
      </c>
      <c r="J112" s="9">
        <f>IF(J$40&lt;=0.85,"OK","Check")</f>
        <v/>
      </c>
      <c r="K112" s="9">
        <f>IF(K$40&lt;=0.85,"OK","Check")</f>
        <v/>
      </c>
      <c r="L112" s="70">
        <f>IF(L$40&lt;=0.85,"OK","Check")</f>
        <v/>
      </c>
    </row>
  </sheetData>
  <pageMargins left="0.75" right="0.75" top="1" bottom="1" header="0.5" footer="0.5"/>
  <pageSetup orientation="landscape" fitToWidth="1"/>
</worksheet>
</file>

<file path=xl/worksheets/sheet7.xml><?xml version="1.0" encoding="utf-8"?>
<worksheet xmlns="http://schemas.openxmlformats.org/spreadsheetml/2006/main">
  <sheetPr>
    <outlinePr summaryBelow="1" summaryRight="1"/>
    <pageSetUpPr fitToPage="1"/>
  </sheetPr>
  <dimension ref="A1:N1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48" customWidth="1" min="14" max="14"/>
  </cols>
  <sheetData>
    <row r="1">
      <c r="A1" s="1" t="inlineStr">
        <is>
          <t>Bastion  -  10-year operating pro forma  -  Low case</t>
        </is>
      </c>
    </row>
    <row r="2">
      <c r="A2" s="2" t="inlineStr">
        <is>
          <t>Lean Bastion: 12 cabins on 5 acres and USD 1M of land, Low California prices, cautious demand. Constant 2026 USD. Contributed income is shown separately from earned revenue. Cash flow is before financing (no debt service, no depreciation).</t>
        </is>
      </c>
    </row>
    <row r="4">
      <c r="A4" s="3" t="inlineStr">
        <is>
          <t>USD, constant 2026</t>
        </is>
      </c>
      <c r="B4" s="4" t="n">
        <v>2027</v>
      </c>
      <c r="C4" s="4" t="n">
        <v>2028</v>
      </c>
      <c r="D4" s="4" t="n">
        <v>2029</v>
      </c>
      <c r="E4" s="4" t="n">
        <v>2030</v>
      </c>
      <c r="F4" s="4" t="n">
        <v>2031</v>
      </c>
      <c r="G4" s="4" t="n">
        <v>2032</v>
      </c>
      <c r="H4" s="4" t="n">
        <v>2033</v>
      </c>
      <c r="I4" s="4" t="n">
        <v>2034</v>
      </c>
      <c r="J4" s="4" t="n">
        <v>2035</v>
      </c>
      <c r="K4" s="4" t="n">
        <v>2036</v>
      </c>
      <c r="L4" s="4" t="inlineStr">
        <is>
          <t>Stabilized</t>
        </is>
      </c>
      <c r="M4" s="4" t="inlineStr">
        <is>
          <t>2027-36 total</t>
        </is>
      </c>
      <c r="N4" s="4" t="inlineStr">
        <is>
          <t>Notes</t>
        </is>
      </c>
    </row>
    <row r="5">
      <c r="A5" s="7" t="inlineStr">
        <is>
          <t>TIMING AND DRIVERS</t>
        </is>
      </c>
      <c r="B5" s="8" t="n"/>
      <c r="C5" s="8" t="n"/>
      <c r="D5" s="8" t="n"/>
      <c r="E5" s="8" t="n"/>
      <c r="F5" s="8" t="n"/>
      <c r="G5" s="8" t="n"/>
      <c r="H5" s="8" t="n"/>
      <c r="I5" s="8" t="n"/>
      <c r="J5" s="8" t="n"/>
      <c r="K5" s="8" t="n"/>
      <c r="L5" s="8" t="n"/>
      <c r="M5" s="8" t="n"/>
      <c r="N5" s="8" t="n"/>
    </row>
    <row r="6">
      <c r="A6" s="37" t="inlineStr">
        <is>
          <t>Year</t>
        </is>
      </c>
      <c r="B6" s="51">
        <f>Assumptions!$E$7</f>
        <v/>
      </c>
      <c r="C6" s="51">
        <f>B6+1</f>
        <v/>
      </c>
      <c r="D6" s="51">
        <f>C6+1</f>
        <v/>
      </c>
      <c r="E6" s="51">
        <f>D6+1</f>
        <v/>
      </c>
      <c r="F6" s="51">
        <f>E6+1</f>
        <v/>
      </c>
      <c r="G6" s="51">
        <f>F6+1</f>
        <v/>
      </c>
      <c r="H6" s="51">
        <f>G6+1</f>
        <v/>
      </c>
      <c r="I6" s="51">
        <f>H6+1</f>
        <v/>
      </c>
      <c r="J6" s="51">
        <f>I6+1</f>
        <v/>
      </c>
      <c r="K6" s="51">
        <f>J6+1</f>
        <v/>
      </c>
      <c r="L6" s="52">
        <f>9999</f>
        <v/>
      </c>
    </row>
    <row r="7">
      <c r="A7" s="37" t="inlineStr">
        <is>
          <t>Operating year (1 = Phase 1 opening year)</t>
        </is>
      </c>
      <c r="B7" s="21">
        <f>B$6-Assumptions!$E$9+1</f>
        <v/>
      </c>
      <c r="C7" s="21">
        <f>C$6-Assumptions!$E$9+1</f>
        <v/>
      </c>
      <c r="D7" s="21">
        <f>D$6-Assumptions!$E$9+1</f>
        <v/>
      </c>
      <c r="E7" s="21">
        <f>E$6-Assumptions!$E$9+1</f>
        <v/>
      </c>
      <c r="F7" s="21">
        <f>F$6-Assumptions!$E$9+1</f>
        <v/>
      </c>
      <c r="G7" s="21">
        <f>G$6-Assumptions!$E$9+1</f>
        <v/>
      </c>
      <c r="H7" s="21">
        <f>H$6-Assumptions!$E$9+1</f>
        <v/>
      </c>
      <c r="I7" s="21">
        <f>I$6-Assumptions!$E$9+1</f>
        <v/>
      </c>
      <c r="J7" s="21">
        <f>J$6-Assumptions!$E$9+1</f>
        <v/>
      </c>
      <c r="K7" s="21">
        <f>K$6-Assumptions!$E$9+1</f>
        <v/>
      </c>
      <c r="L7" s="53">
        <f>L$6-Assumptions!$E$9+1</f>
        <v/>
      </c>
      <c r="N7" s="54" t="inlineStr">
        <is>
          <t>Phases 1 and 2 open in May 2030 (share set on Assumptions)</t>
        </is>
      </c>
    </row>
    <row r="8">
      <c r="A8" s="37" t="inlineStr">
        <is>
          <t>Phase 1 in operation (share of year)</t>
        </is>
      </c>
      <c r="B8" s="55">
        <f>IF(B$6&lt;Assumptions!$E$9,0,IF(B$6=Assumptions!$E$9,Assumptions!$E$12,1))</f>
        <v/>
      </c>
      <c r="C8" s="55">
        <f>IF(C$6&lt;Assumptions!$E$9,0,IF(C$6=Assumptions!$E$9,Assumptions!$E$12,1))</f>
        <v/>
      </c>
      <c r="D8" s="55">
        <f>IF(D$6&lt;Assumptions!$E$9,0,IF(D$6=Assumptions!$E$9,Assumptions!$E$12,1))</f>
        <v/>
      </c>
      <c r="E8" s="55">
        <f>IF(E$6&lt;Assumptions!$E$9,0,IF(E$6=Assumptions!$E$9,Assumptions!$E$12,1))</f>
        <v/>
      </c>
      <c r="F8" s="55">
        <f>IF(F$6&lt;Assumptions!$E$9,0,IF(F$6=Assumptions!$E$9,Assumptions!$E$12,1))</f>
        <v/>
      </c>
      <c r="G8" s="55">
        <f>IF(G$6&lt;Assumptions!$E$9,0,IF(G$6=Assumptions!$E$9,Assumptions!$E$12,1))</f>
        <v/>
      </c>
      <c r="H8" s="55">
        <f>IF(H$6&lt;Assumptions!$E$9,0,IF(H$6=Assumptions!$E$9,Assumptions!$E$12,1))</f>
        <v/>
      </c>
      <c r="I8" s="55">
        <f>IF(I$6&lt;Assumptions!$E$9,0,IF(I$6=Assumptions!$E$9,Assumptions!$E$12,1))</f>
        <v/>
      </c>
      <c r="J8" s="55">
        <f>IF(J$6&lt;Assumptions!$E$9,0,IF(J$6=Assumptions!$E$9,Assumptions!$E$12,1))</f>
        <v/>
      </c>
      <c r="K8" s="55">
        <f>IF(K$6&lt;Assumptions!$E$9,0,IF(K$6=Assumptions!$E$9,Assumptions!$E$12,1))</f>
        <v/>
      </c>
      <c r="L8" s="56">
        <f>IF(L$6&lt;Assumptions!$E$9,0,IF(L$6=Assumptions!$E$9,Assumptions!$E$12,1))</f>
        <v/>
      </c>
    </row>
    <row r="9">
      <c r="A9" s="37" t="inlineStr">
        <is>
          <t>Phase 2 in operation (share of year)</t>
        </is>
      </c>
      <c r="B9" s="55">
        <f>IF(B$6&lt;Assumptions!$E$10,0,IF(B$6=Assumptions!$E$10,Assumptions!$E$13,1))</f>
        <v/>
      </c>
      <c r="C9" s="55">
        <f>IF(C$6&lt;Assumptions!$E$10,0,IF(C$6=Assumptions!$E$10,Assumptions!$E$13,1))</f>
        <v/>
      </c>
      <c r="D9" s="55">
        <f>IF(D$6&lt;Assumptions!$E$10,0,IF(D$6=Assumptions!$E$10,Assumptions!$E$13,1))</f>
        <v/>
      </c>
      <c r="E9" s="55">
        <f>IF(E$6&lt;Assumptions!$E$10,0,IF(E$6=Assumptions!$E$10,Assumptions!$E$13,1))</f>
        <v/>
      </c>
      <c r="F9" s="55">
        <f>IF(F$6&lt;Assumptions!$E$10,0,IF(F$6=Assumptions!$E$10,Assumptions!$E$13,1))</f>
        <v/>
      </c>
      <c r="G9" s="55">
        <f>IF(G$6&lt;Assumptions!$E$10,0,IF(G$6=Assumptions!$E$10,Assumptions!$E$13,1))</f>
        <v/>
      </c>
      <c r="H9" s="55">
        <f>IF(H$6&lt;Assumptions!$E$10,0,IF(H$6=Assumptions!$E$10,Assumptions!$E$13,1))</f>
        <v/>
      </c>
      <c r="I9" s="55">
        <f>IF(I$6&lt;Assumptions!$E$10,0,IF(I$6=Assumptions!$E$10,Assumptions!$E$13,1))</f>
        <v/>
      </c>
      <c r="J9" s="55">
        <f>IF(J$6&lt;Assumptions!$E$10,0,IF(J$6=Assumptions!$E$10,Assumptions!$E$13,1))</f>
        <v/>
      </c>
      <c r="K9" s="55">
        <f>IF(K$6&lt;Assumptions!$E$10,0,IF(K$6=Assumptions!$E$10,Assumptions!$E$13,1))</f>
        <v/>
      </c>
      <c r="L9" s="56">
        <f>IF(L$6&lt;Assumptions!$E$10,0,IF(L$6=Assumptions!$E$10,Assumptions!$E$13,1))</f>
        <v/>
      </c>
    </row>
    <row r="10">
      <c r="A10" s="37" t="inlineStr">
        <is>
          <t>Phase 3 in operation (share of year)</t>
        </is>
      </c>
      <c r="B10" s="55">
        <f>IF(B$6&lt;Assumptions!$E$11,0,IF(B$6=Assumptions!$E$11,Assumptions!$E$14,1))</f>
        <v/>
      </c>
      <c r="C10" s="55">
        <f>IF(C$6&lt;Assumptions!$E$11,0,IF(C$6=Assumptions!$E$11,Assumptions!$E$14,1))</f>
        <v/>
      </c>
      <c r="D10" s="55">
        <f>IF(D$6&lt;Assumptions!$E$11,0,IF(D$6=Assumptions!$E$11,Assumptions!$E$14,1))</f>
        <v/>
      </c>
      <c r="E10" s="55">
        <f>IF(E$6&lt;Assumptions!$E$11,0,IF(E$6=Assumptions!$E$11,Assumptions!$E$14,1))</f>
        <v/>
      </c>
      <c r="F10" s="55">
        <f>IF(F$6&lt;Assumptions!$E$11,0,IF(F$6=Assumptions!$E$11,Assumptions!$E$14,1))</f>
        <v/>
      </c>
      <c r="G10" s="55">
        <f>IF(G$6&lt;Assumptions!$E$11,0,IF(G$6=Assumptions!$E$11,Assumptions!$E$14,1))</f>
        <v/>
      </c>
      <c r="H10" s="55">
        <f>IF(H$6&lt;Assumptions!$E$11,0,IF(H$6=Assumptions!$E$11,Assumptions!$E$14,1))</f>
        <v/>
      </c>
      <c r="I10" s="55">
        <f>IF(I$6&lt;Assumptions!$E$11,0,IF(I$6=Assumptions!$E$11,Assumptions!$E$14,1))</f>
        <v/>
      </c>
      <c r="J10" s="55">
        <f>IF(J$6&lt;Assumptions!$E$11,0,IF(J$6=Assumptions!$E$11,Assumptions!$E$14,1))</f>
        <v/>
      </c>
      <c r="K10" s="55">
        <f>IF(K$6&lt;Assumptions!$E$11,0,IF(K$6=Assumptions!$E$11,Assumptions!$E$14,1))</f>
        <v/>
      </c>
      <c r="L10" s="56">
        <f>IF(L$6&lt;Assumptions!$E$11,0,IF(L$6=Assumptions!$E$11,Assumptions!$E$14,1))</f>
        <v/>
      </c>
    </row>
    <row r="11">
      <c r="A11" s="37" t="inlineStr">
        <is>
          <t>Before Phase 1 opening (1 = yes)</t>
        </is>
      </c>
      <c r="B11" s="21">
        <f>IF(B$6&lt;Assumptions!$E$9,1,0)</f>
        <v/>
      </c>
      <c r="C11" s="21">
        <f>IF(C$6&lt;Assumptions!$E$9,1,0)</f>
        <v/>
      </c>
      <c r="D11" s="21">
        <f>IF(D$6&lt;Assumptions!$E$9,1,0)</f>
        <v/>
      </c>
      <c r="E11" s="21">
        <f>IF(E$6&lt;Assumptions!$E$9,1,0)</f>
        <v/>
      </c>
      <c r="F11" s="21">
        <f>IF(F$6&lt;Assumptions!$E$9,1,0)</f>
        <v/>
      </c>
      <c r="G11" s="21">
        <f>IF(G$6&lt;Assumptions!$E$9,1,0)</f>
        <v/>
      </c>
      <c r="H11" s="21">
        <f>IF(H$6&lt;Assumptions!$E$9,1,0)</f>
        <v/>
      </c>
      <c r="I11" s="21">
        <f>IF(I$6&lt;Assumptions!$E$9,1,0)</f>
        <v/>
      </c>
      <c r="J11" s="21">
        <f>IF(J$6&lt;Assumptions!$E$9,1,0)</f>
        <v/>
      </c>
      <c r="K11" s="21">
        <f>IF(K$6&lt;Assumptions!$E$9,1,0)</f>
        <v/>
      </c>
      <c r="L11" s="53">
        <f>IF(L$6&lt;Assumptions!$E$9,1,0)</f>
        <v/>
      </c>
    </row>
    <row r="12">
      <c r="A12" s="37" t="inlineStr">
        <is>
          <t>Stage 0 pop-up year on site (1 = yes)</t>
        </is>
      </c>
      <c r="B12" s="21">
        <f>IF(AND(B$6&gt;Assumptions!$E$8,B$6&lt;Assumptions!$E$9),1,0)</f>
        <v/>
      </c>
      <c r="C12" s="21">
        <f>IF(AND(C$6&gt;Assumptions!$E$8,C$6&lt;Assumptions!$E$9),1,0)</f>
        <v/>
      </c>
      <c r="D12" s="21">
        <f>IF(AND(D$6&gt;Assumptions!$E$8,D$6&lt;Assumptions!$E$9),1,0)</f>
        <v/>
      </c>
      <c r="E12" s="21">
        <f>IF(AND(E$6&gt;Assumptions!$E$8,E$6&lt;Assumptions!$E$9),1,0)</f>
        <v/>
      </c>
      <c r="F12" s="21">
        <f>IF(AND(F$6&gt;Assumptions!$E$8,F$6&lt;Assumptions!$E$9),1,0)</f>
        <v/>
      </c>
      <c r="G12" s="21">
        <f>IF(AND(G$6&gt;Assumptions!$E$8,G$6&lt;Assumptions!$E$9),1,0)</f>
        <v/>
      </c>
      <c r="H12" s="21">
        <f>IF(AND(H$6&gt;Assumptions!$E$8,H$6&lt;Assumptions!$E$9),1,0)</f>
        <v/>
      </c>
      <c r="I12" s="21">
        <f>IF(AND(I$6&gt;Assumptions!$E$8,I$6&lt;Assumptions!$E$9),1,0)</f>
        <v/>
      </c>
      <c r="J12" s="21">
        <f>IF(AND(J$6&gt;Assumptions!$E$8,J$6&lt;Assumptions!$E$9),1,0)</f>
        <v/>
      </c>
      <c r="K12" s="21">
        <f>IF(AND(K$6&gt;Assumptions!$E$8,K$6&lt;Assumptions!$E$9),1,0)</f>
        <v/>
      </c>
      <c r="L12" s="53">
        <f>IF(AND(L$6&gt;Assumptions!$E$8,L$6&lt;Assumptions!$E$9),1,0)</f>
        <v/>
      </c>
    </row>
    <row r="13">
      <c r="A13" s="37" t="inlineStr">
        <is>
          <t>Land owned (1 = yes)</t>
        </is>
      </c>
      <c r="B13" s="21">
        <f>IF(B$6&gt;=Assumptions!$E$8,1,0)</f>
        <v/>
      </c>
      <c r="C13" s="21">
        <f>IF(C$6&gt;=Assumptions!$E$8,1,0)</f>
        <v/>
      </c>
      <c r="D13" s="21">
        <f>IF(D$6&gt;=Assumptions!$E$8,1,0)</f>
        <v/>
      </c>
      <c r="E13" s="21">
        <f>IF(E$6&gt;=Assumptions!$E$8,1,0)</f>
        <v/>
      </c>
      <c r="F13" s="21">
        <f>IF(F$6&gt;=Assumptions!$E$8,1,0)</f>
        <v/>
      </c>
      <c r="G13" s="21">
        <f>IF(G$6&gt;=Assumptions!$E$8,1,0)</f>
        <v/>
      </c>
      <c r="H13" s="21">
        <f>IF(H$6&gt;=Assumptions!$E$8,1,0)</f>
        <v/>
      </c>
      <c r="I13" s="21">
        <f>IF(I$6&gt;=Assumptions!$E$8,1,0)</f>
        <v/>
      </c>
      <c r="J13" s="21">
        <f>IF(J$6&gt;=Assumptions!$E$8,1,0)</f>
        <v/>
      </c>
      <c r="K13" s="21">
        <f>IF(K$6&gt;=Assumptions!$E$8,1,0)</f>
        <v/>
      </c>
      <c r="L13" s="53">
        <f>IF(L$6&gt;=Assumptions!$E$8,1,0)</f>
        <v/>
      </c>
    </row>
    <row r="14">
      <c r="A14" s="37" t="inlineStr">
        <is>
          <t>Demand ramp</t>
        </is>
      </c>
      <c r="B14" s="55">
        <f>IF(B$7&lt;1,0,INDEX(Assumptions!$E$147:$E$150,MIN(B$7,4)))</f>
        <v/>
      </c>
      <c r="C14" s="55">
        <f>IF(C$7&lt;1,0,INDEX(Assumptions!$E$147:$E$150,MIN(C$7,4)))</f>
        <v/>
      </c>
      <c r="D14" s="55">
        <f>IF(D$7&lt;1,0,INDEX(Assumptions!$E$147:$E$150,MIN(D$7,4)))</f>
        <v/>
      </c>
      <c r="E14" s="55">
        <f>IF(E$7&lt;1,0,INDEX(Assumptions!$E$147:$E$150,MIN(E$7,4)))</f>
        <v/>
      </c>
      <c r="F14" s="55">
        <f>IF(F$7&lt;1,0,INDEX(Assumptions!$E$147:$E$150,MIN(F$7,4)))</f>
        <v/>
      </c>
      <c r="G14" s="55">
        <f>IF(G$7&lt;1,0,INDEX(Assumptions!$E$147:$E$150,MIN(G$7,4)))</f>
        <v/>
      </c>
      <c r="H14" s="55">
        <f>IF(H$7&lt;1,0,INDEX(Assumptions!$E$147:$E$150,MIN(H$7,4)))</f>
        <v/>
      </c>
      <c r="I14" s="55">
        <f>IF(I$7&lt;1,0,INDEX(Assumptions!$E$147:$E$150,MIN(I$7,4)))</f>
        <v/>
      </c>
      <c r="J14" s="55">
        <f>IF(J$7&lt;1,0,INDEX(Assumptions!$E$147:$E$150,MIN(J$7,4)))</f>
        <v/>
      </c>
      <c r="K14" s="55">
        <f>IF(K$7&lt;1,0,INDEX(Assumptions!$E$147:$E$150,MIN(K$7,4)))</f>
        <v/>
      </c>
      <c r="L14" s="56">
        <f>IF(L$7&lt;1,0,INDEX(Assumptions!$E$147:$E$150,MIN(L$7,4)))</f>
        <v/>
      </c>
    </row>
    <row r="15">
      <c r="A15" s="37" t="inlineStr">
        <is>
          <t>Contributed income ramp</t>
        </is>
      </c>
      <c r="B15" s="55">
        <f>IF(B$7&lt;1,B$13*Assumptions!$E$151,INDEX(Assumptions!$E$152:$E$155,MIN(B$7,4)))</f>
        <v/>
      </c>
      <c r="C15" s="55">
        <f>IF(C$7&lt;1,C$13*Assumptions!$E$151,INDEX(Assumptions!$E$152:$E$155,MIN(C$7,4)))</f>
        <v/>
      </c>
      <c r="D15" s="55">
        <f>IF(D$7&lt;1,D$13*Assumptions!$E$151,INDEX(Assumptions!$E$152:$E$155,MIN(D$7,4)))</f>
        <v/>
      </c>
      <c r="E15" s="55">
        <f>IF(E$7&lt;1,E$13*Assumptions!$E$151,INDEX(Assumptions!$E$152:$E$155,MIN(E$7,4)))</f>
        <v/>
      </c>
      <c r="F15" s="55">
        <f>IF(F$7&lt;1,F$13*Assumptions!$E$151,INDEX(Assumptions!$E$152:$E$155,MIN(F$7,4)))</f>
        <v/>
      </c>
      <c r="G15" s="55">
        <f>IF(G$7&lt;1,G$13*Assumptions!$E$151,INDEX(Assumptions!$E$152:$E$155,MIN(G$7,4)))</f>
        <v/>
      </c>
      <c r="H15" s="55">
        <f>IF(H$7&lt;1,H$13*Assumptions!$E$151,INDEX(Assumptions!$E$152:$E$155,MIN(H$7,4)))</f>
        <v/>
      </c>
      <c r="I15" s="55">
        <f>IF(I$7&lt;1,I$13*Assumptions!$E$151,INDEX(Assumptions!$E$152:$E$155,MIN(I$7,4)))</f>
        <v/>
      </c>
      <c r="J15" s="55">
        <f>IF(J$7&lt;1,J$13*Assumptions!$E$151,INDEX(Assumptions!$E$152:$E$155,MIN(J$7,4)))</f>
        <v/>
      </c>
      <c r="K15" s="55">
        <f>IF(K$7&lt;1,K$13*Assumptions!$E$151,INDEX(Assumptions!$E$152:$E$155,MIN(K$7,4)))</f>
        <v/>
      </c>
      <c r="L15" s="56">
        <f>IF(L$7&lt;1,L$13*Assumptions!$E$151,INDEX(Assumptions!$E$152:$E$155,MIN(L$7,4)))</f>
        <v/>
      </c>
    </row>
    <row r="16">
      <c r="A16" s="37" t="inlineStr">
        <is>
          <t>Studio ramp (years since Phase 2 opening)</t>
        </is>
      </c>
      <c r="B16" s="55">
        <f>IF(B$6&lt;Assumptions!$E$10,0,INDEX(Assumptions!$E$147:$E$150,MIN(B$6-Assumptions!$E$10+1,4)))</f>
        <v/>
      </c>
      <c r="C16" s="55">
        <f>IF(C$6&lt;Assumptions!$E$10,0,INDEX(Assumptions!$E$147:$E$150,MIN(C$6-Assumptions!$E$10+1,4)))</f>
        <v/>
      </c>
      <c r="D16" s="55">
        <f>IF(D$6&lt;Assumptions!$E$10,0,INDEX(Assumptions!$E$147:$E$150,MIN(D$6-Assumptions!$E$10+1,4)))</f>
        <v/>
      </c>
      <c r="E16" s="55">
        <f>IF(E$6&lt;Assumptions!$E$10,0,INDEX(Assumptions!$E$147:$E$150,MIN(E$6-Assumptions!$E$10+1,4)))</f>
        <v/>
      </c>
      <c r="F16" s="55">
        <f>IF(F$6&lt;Assumptions!$E$10,0,INDEX(Assumptions!$E$147:$E$150,MIN(F$6-Assumptions!$E$10+1,4)))</f>
        <v/>
      </c>
      <c r="G16" s="55">
        <f>IF(G$6&lt;Assumptions!$E$10,0,INDEX(Assumptions!$E$147:$E$150,MIN(G$6-Assumptions!$E$10+1,4)))</f>
        <v/>
      </c>
      <c r="H16" s="55">
        <f>IF(H$6&lt;Assumptions!$E$10,0,INDEX(Assumptions!$E$147:$E$150,MIN(H$6-Assumptions!$E$10+1,4)))</f>
        <v/>
      </c>
      <c r="I16" s="55">
        <f>IF(I$6&lt;Assumptions!$E$10,0,INDEX(Assumptions!$E$147:$E$150,MIN(I$6-Assumptions!$E$10+1,4)))</f>
        <v/>
      </c>
      <c r="J16" s="55">
        <f>IF(J$6&lt;Assumptions!$E$10,0,INDEX(Assumptions!$E$147:$E$150,MIN(J$6-Assumptions!$E$10+1,4)))</f>
        <v/>
      </c>
      <c r="K16" s="55">
        <f>IF(K$6&lt;Assumptions!$E$10,0,INDEX(Assumptions!$E$147:$E$150,MIN(K$6-Assumptions!$E$10+1,4)))</f>
        <v/>
      </c>
      <c r="L16" s="56">
        <f>IF(L$6&lt;Assumptions!$E$10,0,INDEX(Assumptions!$E$147:$E$150,MIN(L$6-Assumptions!$E$10+1,4)))</f>
        <v/>
      </c>
    </row>
    <row r="17">
      <c r="A17" s="37" t="inlineStr">
        <is>
          <t>Gallery ramp (years since Phase 3 opening)</t>
        </is>
      </c>
      <c r="B17" s="55">
        <f>IF(B$6&lt;Assumptions!$E$11,0,INDEX(Assumptions!$E$147:$E$150,MIN(B$6-Assumptions!$E$11+1,4)))</f>
        <v/>
      </c>
      <c r="C17" s="55">
        <f>IF(C$6&lt;Assumptions!$E$11,0,INDEX(Assumptions!$E$147:$E$150,MIN(C$6-Assumptions!$E$11+1,4)))</f>
        <v/>
      </c>
      <c r="D17" s="55">
        <f>IF(D$6&lt;Assumptions!$E$11,0,INDEX(Assumptions!$E$147:$E$150,MIN(D$6-Assumptions!$E$11+1,4)))</f>
        <v/>
      </c>
      <c r="E17" s="55">
        <f>IF(E$6&lt;Assumptions!$E$11,0,INDEX(Assumptions!$E$147:$E$150,MIN(E$6-Assumptions!$E$11+1,4)))</f>
        <v/>
      </c>
      <c r="F17" s="55">
        <f>IF(F$6&lt;Assumptions!$E$11,0,INDEX(Assumptions!$E$147:$E$150,MIN(F$6-Assumptions!$E$11+1,4)))</f>
        <v/>
      </c>
      <c r="G17" s="55">
        <f>IF(G$6&lt;Assumptions!$E$11,0,INDEX(Assumptions!$E$147:$E$150,MIN(G$6-Assumptions!$E$11+1,4)))</f>
        <v/>
      </c>
      <c r="H17" s="55">
        <f>IF(H$6&lt;Assumptions!$E$11,0,INDEX(Assumptions!$E$147:$E$150,MIN(H$6-Assumptions!$E$11+1,4)))</f>
        <v/>
      </c>
      <c r="I17" s="55">
        <f>IF(I$6&lt;Assumptions!$E$11,0,INDEX(Assumptions!$E$147:$E$150,MIN(I$6-Assumptions!$E$11+1,4)))</f>
        <v/>
      </c>
      <c r="J17" s="55">
        <f>IF(J$6&lt;Assumptions!$E$11,0,INDEX(Assumptions!$E$147:$E$150,MIN(J$6-Assumptions!$E$11+1,4)))</f>
        <v/>
      </c>
      <c r="K17" s="55">
        <f>IF(K$6&lt;Assumptions!$E$11,0,INDEX(Assumptions!$E$147:$E$150,MIN(K$6-Assumptions!$E$11+1,4)))</f>
        <v/>
      </c>
      <c r="L17" s="56">
        <f>IF(L$6&lt;Assumptions!$E$11,0,INDEX(Assumptions!$E$147:$E$150,MIN(L$6-Assumptions!$E$11+1,4)))</f>
        <v/>
      </c>
    </row>
    <row r="18">
      <c r="A18" s="37" t="inlineStr">
        <is>
          <t>Price index (1 = 2026 dollars)</t>
        </is>
      </c>
      <c r="B18" s="57">
        <f>IF(B$6&gt;3000,1,(1+Assumptions!$E$189)^(B$6-2026))</f>
        <v/>
      </c>
      <c r="C18" s="57">
        <f>IF(C$6&gt;3000,1,(1+Assumptions!$E$189)^(C$6-2026))</f>
        <v/>
      </c>
      <c r="D18" s="57">
        <f>IF(D$6&gt;3000,1,(1+Assumptions!$E$189)^(D$6-2026))</f>
        <v/>
      </c>
      <c r="E18" s="57">
        <f>IF(E$6&gt;3000,1,(1+Assumptions!$E$189)^(E$6-2026))</f>
        <v/>
      </c>
      <c r="F18" s="57">
        <f>IF(F$6&gt;3000,1,(1+Assumptions!$E$189)^(F$6-2026))</f>
        <v/>
      </c>
      <c r="G18" s="57">
        <f>IF(G$6&gt;3000,1,(1+Assumptions!$E$189)^(G$6-2026))</f>
        <v/>
      </c>
      <c r="H18" s="57">
        <f>IF(H$6&gt;3000,1,(1+Assumptions!$E$189)^(H$6-2026))</f>
        <v/>
      </c>
      <c r="I18" s="57">
        <f>IF(I$6&gt;3000,1,(1+Assumptions!$E$189)^(I$6-2026))</f>
        <v/>
      </c>
      <c r="J18" s="57">
        <f>IF(J$6&gt;3000,1,(1+Assumptions!$E$189)^(J$6-2026))</f>
        <v/>
      </c>
      <c r="K18" s="57">
        <f>IF(K$6&gt;3000,1,(1+Assumptions!$E$189)^(K$6-2026))</f>
        <v/>
      </c>
      <c r="L18" s="58">
        <f>IF(L$6&gt;3000,1,(1+Assumptions!$E$189)^(L$6-2026))</f>
        <v/>
      </c>
    </row>
    <row r="19">
      <c r="A19" s="37" t="inlineStr">
        <is>
          <t>Cabins in service (year-weighted)</t>
        </is>
      </c>
      <c r="B19" s="59">
        <f>Assumptions!$E$17*B$8+(Assumptions!$E$16-Assumptions!$E$17)*B$9</f>
        <v/>
      </c>
      <c r="C19" s="59">
        <f>Assumptions!$E$17*C$8+(Assumptions!$E$16-Assumptions!$E$17)*C$9</f>
        <v/>
      </c>
      <c r="D19" s="59">
        <f>Assumptions!$E$17*D$8+(Assumptions!$E$16-Assumptions!$E$17)*D$9</f>
        <v/>
      </c>
      <c r="E19" s="59">
        <f>Assumptions!$E$17*E$8+(Assumptions!$E$16-Assumptions!$E$17)*E$9</f>
        <v/>
      </c>
      <c r="F19" s="59">
        <f>Assumptions!$E$17*F$8+(Assumptions!$E$16-Assumptions!$E$17)*F$9</f>
        <v/>
      </c>
      <c r="G19" s="59">
        <f>Assumptions!$E$17*G$8+(Assumptions!$E$16-Assumptions!$E$17)*G$9</f>
        <v/>
      </c>
      <c r="H19" s="59">
        <f>Assumptions!$E$17*H$8+(Assumptions!$E$16-Assumptions!$E$17)*H$9</f>
        <v/>
      </c>
      <c r="I19" s="59">
        <f>Assumptions!$E$17*I$8+(Assumptions!$E$16-Assumptions!$E$17)*I$9</f>
        <v/>
      </c>
      <c r="J19" s="59">
        <f>Assumptions!$E$17*J$8+(Assumptions!$E$16-Assumptions!$E$17)*J$9</f>
        <v/>
      </c>
      <c r="K19" s="59">
        <f>Assumptions!$E$17*K$8+(Assumptions!$E$16-Assumptions!$E$17)*K$9</f>
        <v/>
      </c>
      <c r="L19" s="60">
        <f>Assumptions!$E$17*L$8+(Assumptions!$E$16-Assumptions!$E$17)*L$9</f>
        <v/>
      </c>
    </row>
    <row r="20">
      <c r="A20" s="37" t="inlineStr">
        <is>
          <t>Cabins installed</t>
        </is>
      </c>
      <c r="B20" s="21">
        <f>Assumptions!$E$17*(B$8&gt;0)+(Assumptions!$E$16-Assumptions!$E$17)*(B$9&gt;0)</f>
        <v/>
      </c>
      <c r="C20" s="21">
        <f>Assumptions!$E$17*(C$8&gt;0)+(Assumptions!$E$16-Assumptions!$E$17)*(C$9&gt;0)</f>
        <v/>
      </c>
      <c r="D20" s="21">
        <f>Assumptions!$E$17*(D$8&gt;0)+(Assumptions!$E$16-Assumptions!$E$17)*(D$9&gt;0)</f>
        <v/>
      </c>
      <c r="E20" s="21">
        <f>Assumptions!$E$17*(E$8&gt;0)+(Assumptions!$E$16-Assumptions!$E$17)*(E$9&gt;0)</f>
        <v/>
      </c>
      <c r="F20" s="21">
        <f>Assumptions!$E$17*(F$8&gt;0)+(Assumptions!$E$16-Assumptions!$E$17)*(F$9&gt;0)</f>
        <v/>
      </c>
      <c r="G20" s="21">
        <f>Assumptions!$E$17*(G$8&gt;0)+(Assumptions!$E$16-Assumptions!$E$17)*(G$9&gt;0)</f>
        <v/>
      </c>
      <c r="H20" s="21">
        <f>Assumptions!$E$17*(H$8&gt;0)+(Assumptions!$E$16-Assumptions!$E$17)*(H$9&gt;0)</f>
        <v/>
      </c>
      <c r="I20" s="21">
        <f>Assumptions!$E$17*(I$8&gt;0)+(Assumptions!$E$16-Assumptions!$E$17)*(I$9&gt;0)</f>
        <v/>
      </c>
      <c r="J20" s="21">
        <f>Assumptions!$E$17*(J$8&gt;0)+(Assumptions!$E$16-Assumptions!$E$17)*(J$9&gt;0)</f>
        <v/>
      </c>
      <c r="K20" s="21">
        <f>Assumptions!$E$17*(K$8&gt;0)+(Assumptions!$E$16-Assumptions!$E$17)*(K$9&gt;0)</f>
        <v/>
      </c>
      <c r="L20" s="53">
        <f>Assumptions!$E$17*(L$8&gt;0)+(Assumptions!$E$16-Assumptions!$E$17)*(L$9&gt;0)</f>
        <v/>
      </c>
    </row>
    <row r="21">
      <c r="A21" s="37" t="inlineStr">
        <is>
          <t>Available cabin nights</t>
        </is>
      </c>
      <c r="B21" s="21">
        <f>B$19*Assumptions!$E$98</f>
        <v/>
      </c>
      <c r="C21" s="21">
        <f>C$19*Assumptions!$E$98</f>
        <v/>
      </c>
      <c r="D21" s="21">
        <f>D$19*Assumptions!$E$98</f>
        <v/>
      </c>
      <c r="E21" s="21">
        <f>E$19*Assumptions!$E$98</f>
        <v/>
      </c>
      <c r="F21" s="21">
        <f>F$19*Assumptions!$E$98</f>
        <v/>
      </c>
      <c r="G21" s="21">
        <f>G$19*Assumptions!$E$98</f>
        <v/>
      </c>
      <c r="H21" s="21">
        <f>H$19*Assumptions!$E$98</f>
        <v/>
      </c>
      <c r="I21" s="21">
        <f>I$19*Assumptions!$E$98</f>
        <v/>
      </c>
      <c r="J21" s="21">
        <f>J$19*Assumptions!$E$98</f>
        <v/>
      </c>
      <c r="K21" s="21">
        <f>K$19*Assumptions!$E$98</f>
        <v/>
      </c>
      <c r="L21" s="53">
        <f>L$19*Assumptions!$E$98</f>
        <v/>
      </c>
      <c r="M21" s="21">
        <f>SUM(B21:K21)</f>
        <v/>
      </c>
    </row>
    <row r="22">
      <c r="A22" s="37" t="inlineStr">
        <is>
          <t>Residencies</t>
        </is>
      </c>
      <c r="B22" s="59">
        <f>Assumptions!$E$105*B$14*B$8</f>
        <v/>
      </c>
      <c r="C22" s="59">
        <f>Assumptions!$E$105*C$14*C$8</f>
        <v/>
      </c>
      <c r="D22" s="59">
        <f>Assumptions!$E$105*D$14*D$8</f>
        <v/>
      </c>
      <c r="E22" s="59">
        <f>Assumptions!$E$105*E$14*E$8</f>
        <v/>
      </c>
      <c r="F22" s="59">
        <f>Assumptions!$E$105*F$14*F$8</f>
        <v/>
      </c>
      <c r="G22" s="59">
        <f>Assumptions!$E$105*G$14*G$8</f>
        <v/>
      </c>
      <c r="H22" s="59">
        <f>Assumptions!$E$105*H$14*H$8</f>
        <v/>
      </c>
      <c r="I22" s="59">
        <f>Assumptions!$E$105*I$14*I$8</f>
        <v/>
      </c>
      <c r="J22" s="59">
        <f>Assumptions!$E$105*J$14*J$8</f>
        <v/>
      </c>
      <c r="K22" s="59">
        <f>Assumptions!$E$105*K$14*K$8</f>
        <v/>
      </c>
      <c r="L22" s="60">
        <f>Assumptions!$E$105*L$14*L$8</f>
        <v/>
      </c>
      <c r="M22" s="59">
        <f>SUM(B22:K22)</f>
        <v/>
      </c>
    </row>
    <row r="23">
      <c r="A23" s="37" t="inlineStr">
        <is>
          <t>Residency cabin nights (no charge)</t>
        </is>
      </c>
      <c r="B23" s="21">
        <f>B$22*Assumptions!$E$106*Assumptions!$E$107</f>
        <v/>
      </c>
      <c r="C23" s="21">
        <f>C$22*Assumptions!$E$106*Assumptions!$E$107</f>
        <v/>
      </c>
      <c r="D23" s="21">
        <f>D$22*Assumptions!$E$106*Assumptions!$E$107</f>
        <v/>
      </c>
      <c r="E23" s="21">
        <f>E$22*Assumptions!$E$106*Assumptions!$E$107</f>
        <v/>
      </c>
      <c r="F23" s="21">
        <f>F$22*Assumptions!$E$106*Assumptions!$E$107</f>
        <v/>
      </c>
      <c r="G23" s="21">
        <f>G$22*Assumptions!$E$106*Assumptions!$E$107</f>
        <v/>
      </c>
      <c r="H23" s="21">
        <f>H$22*Assumptions!$E$106*Assumptions!$E$107</f>
        <v/>
      </c>
      <c r="I23" s="21">
        <f>I$22*Assumptions!$E$106*Assumptions!$E$107</f>
        <v/>
      </c>
      <c r="J23" s="21">
        <f>J$22*Assumptions!$E$106*Assumptions!$E$107</f>
        <v/>
      </c>
      <c r="K23" s="21">
        <f>K$22*Assumptions!$E$106*Assumptions!$E$107</f>
        <v/>
      </c>
      <c r="L23" s="53">
        <f>L$22*Assumptions!$E$106*Assumptions!$E$107</f>
        <v/>
      </c>
      <c r="M23" s="21">
        <f>SUM(B23:K23)</f>
        <v/>
      </c>
    </row>
    <row r="24">
      <c r="A24" s="37" t="inlineStr">
        <is>
          <t>Retreats</t>
        </is>
      </c>
      <c r="B24" s="59">
        <f>Assumptions!$E$110*B$14*B$8</f>
        <v/>
      </c>
      <c r="C24" s="59">
        <f>Assumptions!$E$110*C$14*C$8</f>
        <v/>
      </c>
      <c r="D24" s="59">
        <f>Assumptions!$E$110*D$14*D$8</f>
        <v/>
      </c>
      <c r="E24" s="59">
        <f>Assumptions!$E$110*E$14*E$8</f>
        <v/>
      </c>
      <c r="F24" s="59">
        <f>Assumptions!$E$110*F$14*F$8</f>
        <v/>
      </c>
      <c r="G24" s="59">
        <f>Assumptions!$E$110*G$14*G$8</f>
        <v/>
      </c>
      <c r="H24" s="59">
        <f>Assumptions!$E$110*H$14*H$8</f>
        <v/>
      </c>
      <c r="I24" s="59">
        <f>Assumptions!$E$110*I$14*I$8</f>
        <v/>
      </c>
      <c r="J24" s="59">
        <f>Assumptions!$E$110*J$14*J$8</f>
        <v/>
      </c>
      <c r="K24" s="59">
        <f>Assumptions!$E$110*K$14*K$8</f>
        <v/>
      </c>
      <c r="L24" s="60">
        <f>Assumptions!$E$110*L$14*L$8</f>
        <v/>
      </c>
      <c r="M24" s="59">
        <f>SUM(B24:K24)</f>
        <v/>
      </c>
    </row>
    <row r="25">
      <c r="A25" s="37" t="inlineStr">
        <is>
          <t>Guests per retreat (capped at beds installed)</t>
        </is>
      </c>
      <c r="B25" s="21">
        <f>MIN(Assumptions!$E$111,Assumptions!$E$18*B$20)</f>
        <v/>
      </c>
      <c r="C25" s="21">
        <f>MIN(Assumptions!$E$111,Assumptions!$E$18*C$20)</f>
        <v/>
      </c>
      <c r="D25" s="21">
        <f>MIN(Assumptions!$E$111,Assumptions!$E$18*D$20)</f>
        <v/>
      </c>
      <c r="E25" s="21">
        <f>MIN(Assumptions!$E$111,Assumptions!$E$18*E$20)</f>
        <v/>
      </c>
      <c r="F25" s="21">
        <f>MIN(Assumptions!$E$111,Assumptions!$E$18*F$20)</f>
        <v/>
      </c>
      <c r="G25" s="21">
        <f>MIN(Assumptions!$E$111,Assumptions!$E$18*G$20)</f>
        <v/>
      </c>
      <c r="H25" s="21">
        <f>MIN(Assumptions!$E$111,Assumptions!$E$18*H$20)</f>
        <v/>
      </c>
      <c r="I25" s="21">
        <f>MIN(Assumptions!$E$111,Assumptions!$E$18*I$20)</f>
        <v/>
      </c>
      <c r="J25" s="21">
        <f>MIN(Assumptions!$E$111,Assumptions!$E$18*J$20)</f>
        <v/>
      </c>
      <c r="K25" s="21">
        <f>MIN(Assumptions!$E$111,Assumptions!$E$18*K$20)</f>
        <v/>
      </c>
      <c r="L25" s="53">
        <f>MIN(Assumptions!$E$111,Assumptions!$E$18*L$20)</f>
        <v/>
      </c>
      <c r="N25" s="54" t="inlineStr">
        <is>
          <t>Capped at beds installed (24 with 12 cabins)</t>
        </is>
      </c>
    </row>
    <row r="26">
      <c r="A26" s="37" t="inlineStr">
        <is>
          <t>Retreat guest-nights (one night per day on site)</t>
        </is>
      </c>
      <c r="B26" s="21">
        <f>B$24*B$25*Assumptions!$E$112</f>
        <v/>
      </c>
      <c r="C26" s="21">
        <f>C$24*C$25*Assumptions!$E$112</f>
        <v/>
      </c>
      <c r="D26" s="21">
        <f>D$24*D$25*Assumptions!$E$112</f>
        <v/>
      </c>
      <c r="E26" s="21">
        <f>E$24*E$25*Assumptions!$E$112</f>
        <v/>
      </c>
      <c r="F26" s="21">
        <f>F$24*F$25*Assumptions!$E$112</f>
        <v/>
      </c>
      <c r="G26" s="21">
        <f>G$24*G$25*Assumptions!$E$112</f>
        <v/>
      </c>
      <c r="H26" s="21">
        <f>H$24*H$25*Assumptions!$E$112</f>
        <v/>
      </c>
      <c r="I26" s="21">
        <f>I$24*I$25*Assumptions!$E$112</f>
        <v/>
      </c>
      <c r="J26" s="21">
        <f>J$24*J$25*Assumptions!$E$112</f>
        <v/>
      </c>
      <c r="K26" s="21">
        <f>K$24*K$25*Assumptions!$E$112</f>
        <v/>
      </c>
      <c r="L26" s="53">
        <f>L$24*L$25*Assumptions!$E$112</f>
        <v/>
      </c>
      <c r="M26" s="21">
        <f>SUM(B26:K26)</f>
        <v/>
      </c>
    </row>
    <row r="27">
      <c r="A27" s="37" t="inlineStr">
        <is>
          <t>Program weekends</t>
        </is>
      </c>
      <c r="B27" s="59">
        <f>Assumptions!$E$114*B$14*B$8</f>
        <v/>
      </c>
      <c r="C27" s="59">
        <f>Assumptions!$E$114*C$14*C$8</f>
        <v/>
      </c>
      <c r="D27" s="59">
        <f>Assumptions!$E$114*D$14*D$8</f>
        <v/>
      </c>
      <c r="E27" s="59">
        <f>Assumptions!$E$114*E$14*E$8</f>
        <v/>
      </c>
      <c r="F27" s="59">
        <f>Assumptions!$E$114*F$14*F$8</f>
        <v/>
      </c>
      <c r="G27" s="59">
        <f>Assumptions!$E$114*G$14*G$8</f>
        <v/>
      </c>
      <c r="H27" s="59">
        <f>Assumptions!$E$114*H$14*H$8</f>
        <v/>
      </c>
      <c r="I27" s="59">
        <f>Assumptions!$E$114*I$14*I$8</f>
        <v/>
      </c>
      <c r="J27" s="59">
        <f>Assumptions!$E$114*J$14*J$8</f>
        <v/>
      </c>
      <c r="K27" s="59">
        <f>Assumptions!$E$114*K$14*K$8</f>
        <v/>
      </c>
      <c r="L27" s="60">
        <f>Assumptions!$E$114*L$14*L$8</f>
        <v/>
      </c>
      <c r="M27" s="59">
        <f>SUM(B27:K27)</f>
        <v/>
      </c>
    </row>
    <row r="28">
      <c r="A28" s="37" t="inlineStr">
        <is>
          <t>Guests per program weekend (capped at beds installed)</t>
        </is>
      </c>
      <c r="B28" s="21">
        <f>MIN(Assumptions!$E$115,Assumptions!$E$18*B$20)</f>
        <v/>
      </c>
      <c r="C28" s="21">
        <f>MIN(Assumptions!$E$115,Assumptions!$E$18*C$20)</f>
        <v/>
      </c>
      <c r="D28" s="21">
        <f>MIN(Assumptions!$E$115,Assumptions!$E$18*D$20)</f>
        <v/>
      </c>
      <c r="E28" s="21">
        <f>MIN(Assumptions!$E$115,Assumptions!$E$18*E$20)</f>
        <v/>
      </c>
      <c r="F28" s="21">
        <f>MIN(Assumptions!$E$115,Assumptions!$E$18*F$20)</f>
        <v/>
      </c>
      <c r="G28" s="21">
        <f>MIN(Assumptions!$E$115,Assumptions!$E$18*G$20)</f>
        <v/>
      </c>
      <c r="H28" s="21">
        <f>MIN(Assumptions!$E$115,Assumptions!$E$18*H$20)</f>
        <v/>
      </c>
      <c r="I28" s="21">
        <f>MIN(Assumptions!$E$115,Assumptions!$E$18*I$20)</f>
        <v/>
      </c>
      <c r="J28" s="21">
        <f>MIN(Assumptions!$E$115,Assumptions!$E$18*J$20)</f>
        <v/>
      </c>
      <c r="K28" s="21">
        <f>MIN(Assumptions!$E$115,Assumptions!$E$18*K$20)</f>
        <v/>
      </c>
      <c r="L28" s="53">
        <f>MIN(Assumptions!$E$115,Assumptions!$E$18*L$20)</f>
        <v/>
      </c>
    </row>
    <row r="29">
      <c r="A29" s="37" t="inlineStr">
        <is>
          <t>Full-site takeovers</t>
        </is>
      </c>
      <c r="B29" s="59">
        <f>Assumptions!$E$118*B$14*B$8</f>
        <v/>
      </c>
      <c r="C29" s="59">
        <f>Assumptions!$E$118*C$14*C$8</f>
        <v/>
      </c>
      <c r="D29" s="59">
        <f>Assumptions!$E$118*D$14*D$8</f>
        <v/>
      </c>
      <c r="E29" s="59">
        <f>Assumptions!$E$118*E$14*E$8</f>
        <v/>
      </c>
      <c r="F29" s="59">
        <f>Assumptions!$E$118*F$14*F$8</f>
        <v/>
      </c>
      <c r="G29" s="59">
        <f>Assumptions!$E$118*G$14*G$8</f>
        <v/>
      </c>
      <c r="H29" s="59">
        <f>Assumptions!$E$118*H$14*H$8</f>
        <v/>
      </c>
      <c r="I29" s="59">
        <f>Assumptions!$E$118*I$14*I$8</f>
        <v/>
      </c>
      <c r="J29" s="59">
        <f>Assumptions!$E$118*J$14*J$8</f>
        <v/>
      </c>
      <c r="K29" s="59">
        <f>Assumptions!$E$118*K$14*K$8</f>
        <v/>
      </c>
      <c r="L29" s="60">
        <f>Assumptions!$E$118*L$14*L$8</f>
        <v/>
      </c>
      <c r="M29" s="59">
        <f>SUM(B29:K29)</f>
        <v/>
      </c>
    </row>
    <row r="30">
      <c r="A30" s="37" t="inlineStr">
        <is>
          <t>Performances</t>
        </is>
      </c>
      <c r="B30" s="59">
        <f>Assumptions!$E$123*B$14*B$8</f>
        <v/>
      </c>
      <c r="C30" s="59">
        <f>Assumptions!$E$123*C$14*C$8</f>
        <v/>
      </c>
      <c r="D30" s="59">
        <f>Assumptions!$E$123*D$14*D$8</f>
        <v/>
      </c>
      <c r="E30" s="59">
        <f>Assumptions!$E$123*E$14*E$8</f>
        <v/>
      </c>
      <c r="F30" s="59">
        <f>Assumptions!$E$123*F$14*F$8</f>
        <v/>
      </c>
      <c r="G30" s="59">
        <f>Assumptions!$E$123*G$14*G$8</f>
        <v/>
      </c>
      <c r="H30" s="59">
        <f>Assumptions!$E$123*H$14*H$8</f>
        <v/>
      </c>
      <c r="I30" s="59">
        <f>Assumptions!$E$123*I$14*I$8</f>
        <v/>
      </c>
      <c r="J30" s="59">
        <f>Assumptions!$E$123*J$14*J$8</f>
        <v/>
      </c>
      <c r="K30" s="59">
        <f>Assumptions!$E$123*K$14*K$8</f>
        <v/>
      </c>
      <c r="L30" s="60">
        <f>Assumptions!$E$123*L$14*L$8</f>
        <v/>
      </c>
      <c r="M30" s="59">
        <f>SUM(B30:K30)</f>
        <v/>
      </c>
    </row>
    <row r="31">
      <c r="A31" s="37" t="inlineStr">
        <is>
          <t>Large events (performances + takeovers)</t>
        </is>
      </c>
      <c r="B31" s="59">
        <f>B$29+B$30</f>
        <v/>
      </c>
      <c r="C31" s="59">
        <f>C$29+C$30</f>
        <v/>
      </c>
      <c r="D31" s="59">
        <f>D$29+D$30</f>
        <v/>
      </c>
      <c r="E31" s="59">
        <f>E$29+E$30</f>
        <v/>
      </c>
      <c r="F31" s="59">
        <f>F$29+F$30</f>
        <v/>
      </c>
      <c r="G31" s="59">
        <f>G$29+G$30</f>
        <v/>
      </c>
      <c r="H31" s="59">
        <f>H$29+H$30</f>
        <v/>
      </c>
      <c r="I31" s="59">
        <f>I$29+I$30</f>
        <v/>
      </c>
      <c r="J31" s="59">
        <f>J$29+J$30</f>
        <v/>
      </c>
      <c r="K31" s="59">
        <f>K$29+K$30</f>
        <v/>
      </c>
      <c r="L31" s="60">
        <f>L$29+L$30</f>
        <v/>
      </c>
      <c r="M31" s="59">
        <f>SUM(B31:K31)</f>
        <v/>
      </c>
    </row>
    <row r="32">
      <c r="A32" s="37" t="inlineStr">
        <is>
          <t>Cabin nights: retreat guests (inside the all-in retreat price)</t>
        </is>
      </c>
      <c r="B32" s="21">
        <f>B$26/Assumptions!$E$101</f>
        <v/>
      </c>
      <c r="C32" s="21">
        <f>C$26/Assumptions!$E$101</f>
        <v/>
      </c>
      <c r="D32" s="21">
        <f>D$26/Assumptions!$E$101</f>
        <v/>
      </c>
      <c r="E32" s="21">
        <f>E$26/Assumptions!$E$101</f>
        <v/>
      </c>
      <c r="F32" s="21">
        <f>F$26/Assumptions!$E$101</f>
        <v/>
      </c>
      <c r="G32" s="21">
        <f>G$26/Assumptions!$E$101</f>
        <v/>
      </c>
      <c r="H32" s="21">
        <f>H$26/Assumptions!$E$101</f>
        <v/>
      </c>
      <c r="I32" s="21">
        <f>I$26/Assumptions!$E$101</f>
        <v/>
      </c>
      <c r="J32" s="21">
        <f>J$26/Assumptions!$E$101</f>
        <v/>
      </c>
      <c r="K32" s="21">
        <f>K$26/Assumptions!$E$101</f>
        <v/>
      </c>
      <c r="L32" s="53">
        <f>L$26/Assumptions!$E$101</f>
        <v/>
      </c>
      <c r="M32" s="21">
        <f>SUM(B32:K32)</f>
        <v/>
      </c>
      <c r="N32" s="54" t="inlineStr">
        <is>
          <t>Counted in occupancy, supplies and utilization; not billed again</t>
        </is>
      </c>
    </row>
    <row r="33">
      <c r="A33" s="37" t="inlineStr">
        <is>
          <t>Cabin nights billed: program weekend guests</t>
        </is>
      </c>
      <c r="B33" s="21">
        <f>B$27*B$28*Assumptions!$E$116/Assumptions!$E$101</f>
        <v/>
      </c>
      <c r="C33" s="21">
        <f>C$27*C$28*Assumptions!$E$116/Assumptions!$E$101</f>
        <v/>
      </c>
      <c r="D33" s="21">
        <f>D$27*D$28*Assumptions!$E$116/Assumptions!$E$101</f>
        <v/>
      </c>
      <c r="E33" s="21">
        <f>E$27*E$28*Assumptions!$E$116/Assumptions!$E$101</f>
        <v/>
      </c>
      <c r="F33" s="21">
        <f>F$27*F$28*Assumptions!$E$116/Assumptions!$E$101</f>
        <v/>
      </c>
      <c r="G33" s="21">
        <f>G$27*G$28*Assumptions!$E$116/Assumptions!$E$101</f>
        <v/>
      </c>
      <c r="H33" s="21">
        <f>H$27*H$28*Assumptions!$E$116/Assumptions!$E$101</f>
        <v/>
      </c>
      <c r="I33" s="21">
        <f>I$27*I$28*Assumptions!$E$116/Assumptions!$E$101</f>
        <v/>
      </c>
      <c r="J33" s="21">
        <f>J$27*J$28*Assumptions!$E$116/Assumptions!$E$101</f>
        <v/>
      </c>
      <c r="K33" s="21">
        <f>K$27*K$28*Assumptions!$E$116/Assumptions!$E$101</f>
        <v/>
      </c>
      <c r="L33" s="53">
        <f>L$27*L$28*Assumptions!$E$116/Assumptions!$E$101</f>
        <v/>
      </c>
      <c r="M33" s="21">
        <f>SUM(B33:K33)</f>
        <v/>
      </c>
    </row>
    <row r="34">
      <c r="A34" s="37" t="inlineStr">
        <is>
          <t>Cabin nights billed: takeovers (whole site)</t>
        </is>
      </c>
      <c r="B34" s="21">
        <f>B$29*B$20*Assumptions!$E$121</f>
        <v/>
      </c>
      <c r="C34" s="21">
        <f>C$29*C$20*Assumptions!$E$121</f>
        <v/>
      </c>
      <c r="D34" s="21">
        <f>D$29*D$20*Assumptions!$E$121</f>
        <v/>
      </c>
      <c r="E34" s="21">
        <f>E$29*E$20*Assumptions!$E$121</f>
        <v/>
      </c>
      <c r="F34" s="21">
        <f>F$29*F$20*Assumptions!$E$121</f>
        <v/>
      </c>
      <c r="G34" s="21">
        <f>G$29*G$20*Assumptions!$E$121</f>
        <v/>
      </c>
      <c r="H34" s="21">
        <f>H$29*H$20*Assumptions!$E$121</f>
        <v/>
      </c>
      <c r="I34" s="21">
        <f>I$29*I$20*Assumptions!$E$121</f>
        <v/>
      </c>
      <c r="J34" s="21">
        <f>J$29*J$20*Assumptions!$E$121</f>
        <v/>
      </c>
      <c r="K34" s="21">
        <f>K$29*K$20*Assumptions!$E$121</f>
        <v/>
      </c>
      <c r="L34" s="53">
        <f>L$29*L$20*Assumptions!$E$121</f>
        <v/>
      </c>
      <c r="M34" s="21">
        <f>SUM(B34:K34)</f>
        <v/>
      </c>
    </row>
    <row r="35">
      <c r="A35" s="37" t="inlineStr">
        <is>
          <t>Cabin nights billed: public stays (not allowed in the Ojai Valley)</t>
        </is>
      </c>
      <c r="B35" s="21">
        <f>B$21*Assumptions!$E$100</f>
        <v/>
      </c>
      <c r="C35" s="21">
        <f>C$21*Assumptions!$E$100</f>
        <v/>
      </c>
      <c r="D35" s="21">
        <f>D$21*Assumptions!$E$100</f>
        <v/>
      </c>
      <c r="E35" s="21">
        <f>E$21*Assumptions!$E$100</f>
        <v/>
      </c>
      <c r="F35" s="21">
        <f>F$21*Assumptions!$E$100</f>
        <v/>
      </c>
      <c r="G35" s="21">
        <f>G$21*Assumptions!$E$100</f>
        <v/>
      </c>
      <c r="H35" s="21">
        <f>H$21*Assumptions!$E$100</f>
        <v/>
      </c>
      <c r="I35" s="21">
        <f>I$21*Assumptions!$E$100</f>
        <v/>
      </c>
      <c r="J35" s="21">
        <f>J$21*Assumptions!$E$100</f>
        <v/>
      </c>
      <c r="K35" s="21">
        <f>K$21*Assumptions!$E$100</f>
        <v/>
      </c>
      <c r="L35" s="53">
        <f>L$21*Assumptions!$E$100</f>
        <v/>
      </c>
      <c r="M35" s="21">
        <f>SUM(B35:K35)</f>
        <v/>
      </c>
    </row>
    <row r="36">
      <c r="A36" s="37" t="inlineStr">
        <is>
          <t>Cabin nights billed at the nightly rate (weekends, takeovers)</t>
        </is>
      </c>
      <c r="B36" s="21">
        <f>B$33+B$34+B$35</f>
        <v/>
      </c>
      <c r="C36" s="21">
        <f>C$33+C$34+C$35</f>
        <v/>
      </c>
      <c r="D36" s="21">
        <f>D$33+D$34+D$35</f>
        <v/>
      </c>
      <c r="E36" s="21">
        <f>E$33+E$34+E$35</f>
        <v/>
      </c>
      <c r="F36" s="21">
        <f>F$33+F$34+F$35</f>
        <v/>
      </c>
      <c r="G36" s="21">
        <f>G$33+G$34+G$35</f>
        <v/>
      </c>
      <c r="H36" s="21">
        <f>H$33+H$34+H$35</f>
        <v/>
      </c>
      <c r="I36" s="21">
        <f>I$33+I$34+I$35</f>
        <v/>
      </c>
      <c r="J36" s="21">
        <f>J$33+J$34+J$35</f>
        <v/>
      </c>
      <c r="K36" s="21">
        <f>K$33+K$34+K$35</f>
        <v/>
      </c>
      <c r="L36" s="53">
        <f>L$33+L$34+L$35</f>
        <v/>
      </c>
      <c r="M36" s="21">
        <f>SUM(B36:K36)</f>
        <v/>
      </c>
    </row>
    <row r="37">
      <c r="A37" s="37" t="inlineStr">
        <is>
          <t>Paid cabin nights (program guests, incl. retreats)</t>
        </is>
      </c>
      <c r="B37" s="21">
        <f>B$32+B$36</f>
        <v/>
      </c>
      <c r="C37" s="21">
        <f>C$32+C$36</f>
        <v/>
      </c>
      <c r="D37" s="21">
        <f>D$32+D$36</f>
        <v/>
      </c>
      <c r="E37" s="21">
        <f>E$32+E$36</f>
        <v/>
      </c>
      <c r="F37" s="21">
        <f>F$32+F$36</f>
        <v/>
      </c>
      <c r="G37" s="21">
        <f>G$32+G$36</f>
        <v/>
      </c>
      <c r="H37" s="21">
        <f>H$32+H$36</f>
        <v/>
      </c>
      <c r="I37" s="21">
        <f>I$32+I$36</f>
        <v/>
      </c>
      <c r="J37" s="21">
        <f>J$32+J$36</f>
        <v/>
      </c>
      <c r="K37" s="21">
        <f>K$32+K$36</f>
        <v/>
      </c>
      <c r="L37" s="53">
        <f>L$32+L$36</f>
        <v/>
      </c>
      <c r="M37" s="21">
        <f>SUM(B37:K37)</f>
        <v/>
      </c>
    </row>
    <row r="38">
      <c r="A38" s="37" t="inlineStr">
        <is>
          <t>Paid occupancy (program guests)</t>
        </is>
      </c>
      <c r="B38" s="55">
        <f>IF(B$21&gt;0,B$37/B$21,0)</f>
        <v/>
      </c>
      <c r="C38" s="55">
        <f>IF(C$21&gt;0,C$37/C$21,0)</f>
        <v/>
      </c>
      <c r="D38" s="55">
        <f>IF(D$21&gt;0,D$37/D$21,0)</f>
        <v/>
      </c>
      <c r="E38" s="55">
        <f>IF(E$21&gt;0,E$37/E$21,0)</f>
        <v/>
      </c>
      <c r="F38" s="55">
        <f>IF(F$21&gt;0,F$37/F$21,0)</f>
        <v/>
      </c>
      <c r="G38" s="55">
        <f>IF(G$21&gt;0,G$37/G$21,0)</f>
        <v/>
      </c>
      <c r="H38" s="55">
        <f>IF(H$21&gt;0,H$37/H$21,0)</f>
        <v/>
      </c>
      <c r="I38" s="55">
        <f>IF(I$21&gt;0,I$37/I$21,0)</f>
        <v/>
      </c>
      <c r="J38" s="55">
        <f>IF(J$21&gt;0,J$37/J$21,0)</f>
        <v/>
      </c>
      <c r="K38" s="55">
        <f>IF(K$21&gt;0,K$37/K$21,0)</f>
        <v/>
      </c>
      <c r="L38" s="56">
        <f>IF(L$21&gt;0,L$37/L$21,0)</f>
        <v/>
      </c>
      <c r="N38" s="54" t="inlineStr">
        <is>
          <t>Program guests only, incl. retreats: no public short-term rentals (TRU overlay)</t>
        </is>
      </c>
    </row>
    <row r="39">
      <c r="A39" s="37" t="inlineStr">
        <is>
          <t>Occupied cabin nights (paid + residency)</t>
        </is>
      </c>
      <c r="B39" s="21">
        <f>B$37+B$23</f>
        <v/>
      </c>
      <c r="C39" s="21">
        <f>C$37+C$23</f>
        <v/>
      </c>
      <c r="D39" s="21">
        <f>D$37+D$23</f>
        <v/>
      </c>
      <c r="E39" s="21">
        <f>E$37+E$23</f>
        <v/>
      </c>
      <c r="F39" s="21">
        <f>F$37+F$23</f>
        <v/>
      </c>
      <c r="G39" s="21">
        <f>G$37+G$23</f>
        <v/>
      </c>
      <c r="H39" s="21">
        <f>H$37+H$23</f>
        <v/>
      </c>
      <c r="I39" s="21">
        <f>I$37+I$23</f>
        <v/>
      </c>
      <c r="J39" s="21">
        <f>J$37+J$23</f>
        <v/>
      </c>
      <c r="K39" s="21">
        <f>K$37+K$23</f>
        <v/>
      </c>
      <c r="L39" s="53">
        <f>L$37+L$23</f>
        <v/>
      </c>
      <c r="M39" s="21">
        <f>SUM(B39:K39)</f>
        <v/>
      </c>
    </row>
    <row r="40">
      <c r="A40" s="37" t="inlineStr">
        <is>
          <t>Utilization (occupied / available)</t>
        </is>
      </c>
      <c r="B40" s="55">
        <f>IF(B$21&gt;0,B$39/B$21,0)</f>
        <v/>
      </c>
      <c r="C40" s="55">
        <f>IF(C$21&gt;0,C$39/C$21,0)</f>
        <v/>
      </c>
      <c r="D40" s="55">
        <f>IF(D$21&gt;0,D$39/D$21,0)</f>
        <v/>
      </c>
      <c r="E40" s="55">
        <f>IF(E$21&gt;0,E$39/E$21,0)</f>
        <v/>
      </c>
      <c r="F40" s="55">
        <f>IF(F$21&gt;0,F$39/F$21,0)</f>
        <v/>
      </c>
      <c r="G40" s="55">
        <f>IF(G$21&gt;0,G$39/G$21,0)</f>
        <v/>
      </c>
      <c r="H40" s="55">
        <f>IF(H$21&gt;0,H$39/H$21,0)</f>
        <v/>
      </c>
      <c r="I40" s="55">
        <f>IF(I$21&gt;0,I$39/I$21,0)</f>
        <v/>
      </c>
      <c r="J40" s="55">
        <f>IF(J$21&gt;0,J$39/J$21,0)</f>
        <v/>
      </c>
      <c r="K40" s="55">
        <f>IF(K$21&gt;0,K$39/K$21,0)</f>
        <v/>
      </c>
      <c r="L40" s="56">
        <f>IF(L$21&gt;0,L$39/L$21,0)</f>
        <v/>
      </c>
    </row>
    <row r="41">
      <c r="A41" s="37" t="inlineStr">
        <is>
          <t>Staff in service (FTE)</t>
        </is>
      </c>
      <c r="B41" s="59">
        <f>Assumptions!$E$198*B$8+Assumptions!$E$200*B$8+Assumptions!$E$202*B$8+Assumptions!$E$204*B$8+Assumptions!$E$206*B$8+Assumptions!$E$208*B$8+Assumptions!$E$210*B$8+Assumptions!$E$212*B$8</f>
        <v/>
      </c>
      <c r="C41" s="59">
        <f>Assumptions!$E$198*C$8+Assumptions!$E$200*C$8+Assumptions!$E$202*C$8+Assumptions!$E$204*C$8+Assumptions!$E$206*C$8+Assumptions!$E$208*C$8+Assumptions!$E$210*C$8+Assumptions!$E$212*C$8</f>
        <v/>
      </c>
      <c r="D41" s="59">
        <f>Assumptions!$E$198*D$8+Assumptions!$E$200*D$8+Assumptions!$E$202*D$8+Assumptions!$E$204*D$8+Assumptions!$E$206*D$8+Assumptions!$E$208*D$8+Assumptions!$E$210*D$8+Assumptions!$E$212*D$8</f>
        <v/>
      </c>
      <c r="E41" s="59">
        <f>Assumptions!$E$198*E$8+Assumptions!$E$200*E$8+Assumptions!$E$202*E$8+Assumptions!$E$204*E$8+Assumptions!$E$206*E$8+Assumptions!$E$208*E$8+Assumptions!$E$210*E$8+Assumptions!$E$212*E$8</f>
        <v/>
      </c>
      <c r="F41" s="59">
        <f>Assumptions!$E$198*F$8+Assumptions!$E$200*F$8+Assumptions!$E$202*F$8+Assumptions!$E$204*F$8+Assumptions!$E$206*F$8+Assumptions!$E$208*F$8+Assumptions!$E$210*F$8+Assumptions!$E$212*F$8</f>
        <v/>
      </c>
      <c r="G41" s="59">
        <f>Assumptions!$E$198*G$8+Assumptions!$E$200*G$8+Assumptions!$E$202*G$8+Assumptions!$E$204*G$8+Assumptions!$E$206*G$8+Assumptions!$E$208*G$8+Assumptions!$E$210*G$8+Assumptions!$E$212*G$8</f>
        <v/>
      </c>
      <c r="H41" s="59">
        <f>Assumptions!$E$198*H$8+Assumptions!$E$200*H$8+Assumptions!$E$202*H$8+Assumptions!$E$204*H$8+Assumptions!$E$206*H$8+Assumptions!$E$208*H$8+Assumptions!$E$210*H$8+Assumptions!$E$212*H$8</f>
        <v/>
      </c>
      <c r="I41" s="59">
        <f>Assumptions!$E$198*I$8+Assumptions!$E$200*I$8+Assumptions!$E$202*I$8+Assumptions!$E$204*I$8+Assumptions!$E$206*I$8+Assumptions!$E$208*I$8+Assumptions!$E$210*I$8+Assumptions!$E$212*I$8</f>
        <v/>
      </c>
      <c r="J41" s="59">
        <f>Assumptions!$E$198*J$8+Assumptions!$E$200*J$8+Assumptions!$E$202*J$8+Assumptions!$E$204*J$8+Assumptions!$E$206*J$8+Assumptions!$E$208*J$8+Assumptions!$E$210*J$8+Assumptions!$E$212*J$8</f>
        <v/>
      </c>
      <c r="K41" s="59">
        <f>Assumptions!$E$198*K$8+Assumptions!$E$200*K$8+Assumptions!$E$202*K$8+Assumptions!$E$204*K$8+Assumptions!$E$206*K$8+Assumptions!$E$208*K$8+Assumptions!$E$210*K$8+Assumptions!$E$212*K$8</f>
        <v/>
      </c>
      <c r="L41" s="60">
        <f>Assumptions!$E$198*L$8+Assumptions!$E$200*L$8+Assumptions!$E$202*L$8+Assumptions!$E$204*L$8+Assumptions!$E$206*L$8+Assumptions!$E$208*L$8+Assumptions!$E$210*L$8+Assumptions!$E$212*L$8</f>
        <v/>
      </c>
      <c r="N41" s="54" t="inlineStr">
        <is>
          <t>Our core team on the Assumptions sheet</t>
        </is>
      </c>
    </row>
    <row r="42">
      <c r="A42" s="37" t="inlineStr">
        <is>
          <t>Land held at cost</t>
        </is>
      </c>
      <c r="B42" s="21">
        <f>Assumptions!$E$34*B$13</f>
        <v/>
      </c>
      <c r="C42" s="21">
        <f>Assumptions!$E$34*C$13</f>
        <v/>
      </c>
      <c r="D42" s="21">
        <f>Assumptions!$E$34*D$13</f>
        <v/>
      </c>
      <c r="E42" s="21">
        <f>Assumptions!$E$34*E$13</f>
        <v/>
      </c>
      <c r="F42" s="21">
        <f>Assumptions!$E$34*F$13</f>
        <v/>
      </c>
      <c r="G42" s="21">
        <f>Assumptions!$E$34*G$13</f>
        <v/>
      </c>
      <c r="H42" s="21">
        <f>Assumptions!$E$34*H$13</f>
        <v/>
      </c>
      <c r="I42" s="21">
        <f>Assumptions!$E$34*I$13</f>
        <v/>
      </c>
      <c r="J42" s="21">
        <f>Assumptions!$E$34*J$13</f>
        <v/>
      </c>
      <c r="K42" s="21">
        <f>Assumptions!$E$34*K$13</f>
        <v/>
      </c>
      <c r="L42" s="53">
        <f>Assumptions!$E$34*L$13</f>
        <v/>
      </c>
    </row>
    <row r="43">
      <c r="A43" s="37" t="inlineStr">
        <is>
          <t>Replacement value in service (insured, maintained)</t>
        </is>
      </c>
      <c r="B43" s="21">
        <f>'Sources &amp; Uses'!$D$70*B$8+'Sources &amp; Uses'!$D$71*B$9+'Sources &amp; Uses'!$D$72*B$10</f>
        <v/>
      </c>
      <c r="C43" s="21">
        <f>'Sources &amp; Uses'!$D$70*C$8+'Sources &amp; Uses'!$D$71*C$9+'Sources &amp; Uses'!$D$72*C$10</f>
        <v/>
      </c>
      <c r="D43" s="21">
        <f>'Sources &amp; Uses'!$D$70*D$8+'Sources &amp; Uses'!$D$71*D$9+'Sources &amp; Uses'!$D$72*D$10</f>
        <v/>
      </c>
      <c r="E43" s="21">
        <f>'Sources &amp; Uses'!$D$70*E$8+'Sources &amp; Uses'!$D$71*E$9+'Sources &amp; Uses'!$D$72*E$10</f>
        <v/>
      </c>
      <c r="F43" s="21">
        <f>'Sources &amp; Uses'!$D$70*F$8+'Sources &amp; Uses'!$D$71*F$9+'Sources &amp; Uses'!$D$72*F$10</f>
        <v/>
      </c>
      <c r="G43" s="21">
        <f>'Sources &amp; Uses'!$D$70*G$8+'Sources &amp; Uses'!$D$71*G$9+'Sources &amp; Uses'!$D$72*G$10</f>
        <v/>
      </c>
      <c r="H43" s="21">
        <f>'Sources &amp; Uses'!$D$70*H$8+'Sources &amp; Uses'!$D$71*H$9+'Sources &amp; Uses'!$D$72*H$10</f>
        <v/>
      </c>
      <c r="I43" s="21">
        <f>'Sources &amp; Uses'!$D$70*I$8+'Sources &amp; Uses'!$D$71*I$9+'Sources &amp; Uses'!$D$72*I$10</f>
        <v/>
      </c>
      <c r="J43" s="21">
        <f>'Sources &amp; Uses'!$D$70*J$8+'Sources &amp; Uses'!$D$71*J$9+'Sources &amp; Uses'!$D$72*J$10</f>
        <v/>
      </c>
      <c r="K43" s="21">
        <f>'Sources &amp; Uses'!$D$70*K$8+'Sources &amp; Uses'!$D$71*K$9+'Sources &amp; Uses'!$D$72*K$10</f>
        <v/>
      </c>
      <c r="L43" s="53">
        <f>'Sources &amp; Uses'!$D$70*L$8+'Sources &amp; Uses'!$D$71*L$9+'Sources &amp; Uses'!$D$72*L$10</f>
        <v/>
      </c>
    </row>
    <row r="44">
      <c r="A44" s="37" t="inlineStr">
        <is>
          <t>Assessed value (land + capitalized cost in service)</t>
        </is>
      </c>
      <c r="B44" s="21">
        <f>B$42+'Sources &amp; Uses'!$D$73*B$8+'Sources &amp; Uses'!$D$74*B$9+'Sources &amp; Uses'!$D$75*B$10</f>
        <v/>
      </c>
      <c r="C44" s="21">
        <f>C$42+'Sources &amp; Uses'!$D$73*C$8+'Sources &amp; Uses'!$D$74*C$9+'Sources &amp; Uses'!$D$75*C$10</f>
        <v/>
      </c>
      <c r="D44" s="21">
        <f>D$42+'Sources &amp; Uses'!$D$73*D$8+'Sources &amp; Uses'!$D$74*D$9+'Sources &amp; Uses'!$D$75*D$10</f>
        <v/>
      </c>
      <c r="E44" s="21">
        <f>E$42+'Sources &amp; Uses'!$D$73*E$8+'Sources &amp; Uses'!$D$74*E$9+'Sources &amp; Uses'!$D$75*E$10</f>
        <v/>
      </c>
      <c r="F44" s="21">
        <f>F$42+'Sources &amp; Uses'!$D$73*F$8+'Sources &amp; Uses'!$D$74*F$9+'Sources &amp; Uses'!$D$75*F$10</f>
        <v/>
      </c>
      <c r="G44" s="21">
        <f>G$42+'Sources &amp; Uses'!$D$73*G$8+'Sources &amp; Uses'!$D$74*G$9+'Sources &amp; Uses'!$D$75*G$10</f>
        <v/>
      </c>
      <c r="H44" s="21">
        <f>H$42+'Sources &amp; Uses'!$D$73*H$8+'Sources &amp; Uses'!$D$74*H$9+'Sources &amp; Uses'!$D$75*H$10</f>
        <v/>
      </c>
      <c r="I44" s="21">
        <f>I$42+'Sources &amp; Uses'!$D$73*I$8+'Sources &amp; Uses'!$D$74*I$9+'Sources &amp; Uses'!$D$75*I$10</f>
        <v/>
      </c>
      <c r="J44" s="21">
        <f>J$42+'Sources &amp; Uses'!$D$73*J$8+'Sources &amp; Uses'!$D$74*J$9+'Sources &amp; Uses'!$D$75*J$10</f>
        <v/>
      </c>
      <c r="K44" s="21">
        <f>K$42+'Sources &amp; Uses'!$D$73*K$8+'Sources &amp; Uses'!$D$74*K$9+'Sources &amp; Uses'!$D$75*K$10</f>
        <v/>
      </c>
      <c r="L44" s="53">
        <f>L$42+'Sources &amp; Uses'!$D$73*L$8+'Sources &amp; Uses'!$D$74*L$9+'Sources &amp; Uses'!$D$75*L$10</f>
        <v/>
      </c>
    </row>
    <row r="45">
      <c r="A45" s="7" t="inlineStr">
        <is>
          <t>EARNED REVENUE</t>
        </is>
      </c>
      <c r="B45" s="8" t="n"/>
      <c r="C45" s="8" t="n"/>
      <c r="D45" s="8" t="n"/>
      <c r="E45" s="8" t="n"/>
      <c r="F45" s="8" t="n"/>
      <c r="G45" s="8" t="n"/>
      <c r="H45" s="8" t="n"/>
      <c r="I45" s="8" t="n"/>
      <c r="J45" s="8" t="n"/>
      <c r="K45" s="8" t="n"/>
      <c r="L45" s="8" t="n"/>
      <c r="M45" s="8" t="n"/>
      <c r="N45" s="8" t="n"/>
    </row>
    <row r="46">
      <c r="A46" s="37" t="inlineStr">
        <is>
          <t>Cabin nights billed for program weekends and takeovers (lodging, before 8% TOT)</t>
        </is>
      </c>
      <c r="B46" s="21">
        <f>B$36*Assumptions!$E$99*B$18</f>
        <v/>
      </c>
      <c r="C46" s="21">
        <f>C$36*Assumptions!$E$99*C$18</f>
        <v/>
      </c>
      <c r="D46" s="21">
        <f>D$36*Assumptions!$E$99*D$18</f>
        <v/>
      </c>
      <c r="E46" s="21">
        <f>E$36*Assumptions!$E$99*E$18</f>
        <v/>
      </c>
      <c r="F46" s="21">
        <f>F$36*Assumptions!$E$99*F$18</f>
        <v/>
      </c>
      <c r="G46" s="21">
        <f>G$36*Assumptions!$E$99*G$18</f>
        <v/>
      </c>
      <c r="H46" s="21">
        <f>H$36*Assumptions!$E$99*H$18</f>
        <v/>
      </c>
      <c r="I46" s="21">
        <f>I$36*Assumptions!$E$99*I$18</f>
        <v/>
      </c>
      <c r="J46" s="21">
        <f>J$36*Assumptions!$E$99*J$18</f>
        <v/>
      </c>
      <c r="K46" s="21">
        <f>K$36*Assumptions!$E$99*K$18</f>
        <v/>
      </c>
      <c r="L46" s="53">
        <f>L$36*Assumptions!$E$99*L$18</f>
        <v/>
      </c>
      <c r="M46" s="21">
        <f>SUM(B46:K46)</f>
        <v/>
      </c>
      <c r="N46" s="54" t="inlineStr">
        <is>
          <t>Weekend and takeover nights only; 8% TOT collected on top (memo)</t>
        </is>
      </c>
    </row>
    <row r="47">
      <c r="A47" s="37" t="inlineStr">
        <is>
          <t>Food and beverage (weekend and takeover guests, performance bar, takeover catering)</t>
        </is>
      </c>
      <c r="B47" s="21">
        <f>(B$36*Assumptions!$E$101*Assumptions!$E$102+B$30*Assumptions!$E$124*Assumptions!$E$127+B$29*Assumptions!$E$120*Assumptions!$E$121*Assumptions!$E$122)*B$18</f>
        <v/>
      </c>
      <c r="C47" s="21">
        <f>(C$36*Assumptions!$E$101*Assumptions!$E$102+C$30*Assumptions!$E$124*Assumptions!$E$127+C$29*Assumptions!$E$120*Assumptions!$E$121*Assumptions!$E$122)*C$18</f>
        <v/>
      </c>
      <c r="D47" s="21">
        <f>(D$36*Assumptions!$E$101*Assumptions!$E$102+D$30*Assumptions!$E$124*Assumptions!$E$127+D$29*Assumptions!$E$120*Assumptions!$E$121*Assumptions!$E$122)*D$18</f>
        <v/>
      </c>
      <c r="E47" s="21">
        <f>(E$36*Assumptions!$E$101*Assumptions!$E$102+E$30*Assumptions!$E$124*Assumptions!$E$127+E$29*Assumptions!$E$120*Assumptions!$E$121*Assumptions!$E$122)*E$18</f>
        <v/>
      </c>
      <c r="F47" s="21">
        <f>(F$36*Assumptions!$E$101*Assumptions!$E$102+F$30*Assumptions!$E$124*Assumptions!$E$127+F$29*Assumptions!$E$120*Assumptions!$E$121*Assumptions!$E$122)*F$18</f>
        <v/>
      </c>
      <c r="G47" s="21">
        <f>(G$36*Assumptions!$E$101*Assumptions!$E$102+G$30*Assumptions!$E$124*Assumptions!$E$127+G$29*Assumptions!$E$120*Assumptions!$E$121*Assumptions!$E$122)*G$18</f>
        <v/>
      </c>
      <c r="H47" s="21">
        <f>(H$36*Assumptions!$E$101*Assumptions!$E$102+H$30*Assumptions!$E$124*Assumptions!$E$127+H$29*Assumptions!$E$120*Assumptions!$E$121*Assumptions!$E$122)*H$18</f>
        <v/>
      </c>
      <c r="I47" s="21">
        <f>(I$36*Assumptions!$E$101*Assumptions!$E$102+I$30*Assumptions!$E$124*Assumptions!$E$127+I$29*Assumptions!$E$120*Assumptions!$E$121*Assumptions!$E$122)*I$18</f>
        <v/>
      </c>
      <c r="J47" s="21">
        <f>(J$36*Assumptions!$E$101*Assumptions!$E$102+J$30*Assumptions!$E$124*Assumptions!$E$127+J$29*Assumptions!$E$120*Assumptions!$E$121*Assumptions!$E$122)*J$18</f>
        <v/>
      </c>
      <c r="K47" s="21">
        <f>(K$36*Assumptions!$E$101*Assumptions!$E$102+K$30*Assumptions!$E$124*Assumptions!$E$127+K$29*Assumptions!$E$120*Assumptions!$E$121*Assumptions!$E$122)*K$18</f>
        <v/>
      </c>
      <c r="L47" s="53">
        <f>(L$36*Assumptions!$E$101*Assumptions!$E$102+L$30*Assumptions!$E$124*Assumptions!$E$127+L$29*Assumptions!$E$120*Assumptions!$E$121*Assumptions!$E$122)*L$18</f>
        <v/>
      </c>
      <c r="M47" s="21">
        <f>SUM(B47:K47)</f>
        <v/>
      </c>
      <c r="N47" s="54" t="inlineStr">
        <is>
          <t>Retreat meals sit inside the all-in retreat price</t>
        </is>
      </c>
    </row>
    <row r="48">
      <c r="A48" s="37" t="inlineStr">
        <is>
          <t>Retreats (all-in price: lodging, meals and program)</t>
        </is>
      </c>
      <c r="B48" s="21">
        <f>B$24*B$25*Assumptions!$E$113*B$18</f>
        <v/>
      </c>
      <c r="C48" s="21">
        <f>C$24*C$25*Assumptions!$E$113*C$18</f>
        <v/>
      </c>
      <c r="D48" s="21">
        <f>D$24*D$25*Assumptions!$E$113*D$18</f>
        <v/>
      </c>
      <c r="E48" s="21">
        <f>E$24*E$25*Assumptions!$E$113*E$18</f>
        <v/>
      </c>
      <c r="F48" s="21">
        <f>F$24*F$25*Assumptions!$E$113*F$18</f>
        <v/>
      </c>
      <c r="G48" s="21">
        <f>G$24*G$25*Assumptions!$E$113*G$18</f>
        <v/>
      </c>
      <c r="H48" s="21">
        <f>H$24*H$25*Assumptions!$E$113*H$18</f>
        <v/>
      </c>
      <c r="I48" s="21">
        <f>I$24*I$25*Assumptions!$E$113*I$18</f>
        <v/>
      </c>
      <c r="J48" s="21">
        <f>J$24*J$25*Assumptions!$E$113*J$18</f>
        <v/>
      </c>
      <c r="K48" s="21">
        <f>K$24*K$25*Assumptions!$E$113*K$18</f>
        <v/>
      </c>
      <c r="L48" s="53">
        <f>L$24*L$25*Assumptions!$E$113*L$18</f>
        <v/>
      </c>
      <c r="M48" s="21">
        <f>SUM(B48:K48)</f>
        <v/>
      </c>
      <c r="N48" s="54" t="inlineStr">
        <is>
          <t>All-in USD 3,500 per guest (planning target, 14 Oct 2026): lodging, meals and program</t>
        </is>
      </c>
    </row>
    <row r="49">
      <c r="A49" s="37" t="inlineStr">
        <is>
          <t>Program weekends (program fees)</t>
        </is>
      </c>
      <c r="B49" s="21">
        <f>B$27*B$28*Assumptions!$E$116*Assumptions!$E$117*B$18</f>
        <v/>
      </c>
      <c r="C49" s="21">
        <f>C$27*C$28*Assumptions!$E$116*Assumptions!$E$117*C$18</f>
        <v/>
      </c>
      <c r="D49" s="21">
        <f>D$27*D$28*Assumptions!$E$116*Assumptions!$E$117*D$18</f>
        <v/>
      </c>
      <c r="E49" s="21">
        <f>E$27*E$28*Assumptions!$E$116*Assumptions!$E$117*E$18</f>
        <v/>
      </c>
      <c r="F49" s="21">
        <f>F$27*F$28*Assumptions!$E$116*Assumptions!$E$117*F$18</f>
        <v/>
      </c>
      <c r="G49" s="21">
        <f>G$27*G$28*Assumptions!$E$116*Assumptions!$E$117*G$18</f>
        <v/>
      </c>
      <c r="H49" s="21">
        <f>H$27*H$28*Assumptions!$E$116*Assumptions!$E$117*H$18</f>
        <v/>
      </c>
      <c r="I49" s="21">
        <f>I$27*I$28*Assumptions!$E$116*Assumptions!$E$117*I$18</f>
        <v/>
      </c>
      <c r="J49" s="21">
        <f>J$27*J$28*Assumptions!$E$116*Assumptions!$E$117*J$18</f>
        <v/>
      </c>
      <c r="K49" s="21">
        <f>K$27*K$28*Assumptions!$E$116*Assumptions!$E$117*K$18</f>
        <v/>
      </c>
      <c r="L49" s="53">
        <f>L$27*L$28*Assumptions!$E$116*Assumptions!$E$117*L$18</f>
        <v/>
      </c>
      <c r="M49" s="21">
        <f>SUM(B49:K49)</f>
        <v/>
      </c>
    </row>
    <row r="50">
      <c r="A50" s="37" t="inlineStr">
        <is>
          <t>Full-site takeovers (site fees)</t>
        </is>
      </c>
      <c r="B50" s="21">
        <f>B$29*Assumptions!$E$119*B$18</f>
        <v/>
      </c>
      <c r="C50" s="21">
        <f>C$29*Assumptions!$E$119*C$18</f>
        <v/>
      </c>
      <c r="D50" s="21">
        <f>D$29*Assumptions!$E$119*D$18</f>
        <v/>
      </c>
      <c r="E50" s="21">
        <f>E$29*Assumptions!$E$119*E$18</f>
        <v/>
      </c>
      <c r="F50" s="21">
        <f>F$29*Assumptions!$E$119*F$18</f>
        <v/>
      </c>
      <c r="G50" s="21">
        <f>G$29*Assumptions!$E$119*G$18</f>
        <v/>
      </c>
      <c r="H50" s="21">
        <f>H$29*Assumptions!$E$119*H$18</f>
        <v/>
      </c>
      <c r="I50" s="21">
        <f>I$29*Assumptions!$E$119*I$18</f>
        <v/>
      </c>
      <c r="J50" s="21">
        <f>J$29*Assumptions!$E$119*J$18</f>
        <v/>
      </c>
      <c r="K50" s="21">
        <f>K$29*Assumptions!$E$119*K$18</f>
        <v/>
      </c>
      <c r="L50" s="53">
        <f>L$29*Assumptions!$E$119*L$18</f>
        <v/>
      </c>
      <c r="M50" s="21">
        <f>SUM(B50:K50)</f>
        <v/>
      </c>
    </row>
    <row r="51">
      <c r="A51" s="37" t="inlineStr">
        <is>
          <t>Paid residencies (label or artist funded)</t>
        </is>
      </c>
      <c r="B51" s="21">
        <f>B$22*Assumptions!$E$108*Assumptions!$E$109*B$18</f>
        <v/>
      </c>
      <c r="C51" s="21">
        <f>C$22*Assumptions!$E$108*Assumptions!$E$109*C$18</f>
        <v/>
      </c>
      <c r="D51" s="21">
        <f>D$22*Assumptions!$E$108*Assumptions!$E$109*D$18</f>
        <v/>
      </c>
      <c r="E51" s="21">
        <f>E$22*Assumptions!$E$108*Assumptions!$E$109*E$18</f>
        <v/>
      </c>
      <c r="F51" s="21">
        <f>F$22*Assumptions!$E$108*Assumptions!$E$109*F$18</f>
        <v/>
      </c>
      <c r="G51" s="21">
        <f>G$22*Assumptions!$E$108*Assumptions!$E$109*G$18</f>
        <v/>
      </c>
      <c r="H51" s="21">
        <f>H$22*Assumptions!$E$108*Assumptions!$E$109*H$18</f>
        <v/>
      </c>
      <c r="I51" s="21">
        <f>I$22*Assumptions!$E$108*Assumptions!$E$109*I$18</f>
        <v/>
      </c>
      <c r="J51" s="21">
        <f>J$22*Assumptions!$E$108*Assumptions!$E$109*J$18</f>
        <v/>
      </c>
      <c r="K51" s="21">
        <f>K$22*Assumptions!$E$108*Assumptions!$E$109*K$18</f>
        <v/>
      </c>
      <c r="L51" s="53">
        <f>L$22*Assumptions!$E$108*Assumptions!$E$109*L$18</f>
        <v/>
      </c>
      <c r="M51" s="21">
        <f>SUM(B51:K51)</f>
        <v/>
      </c>
    </row>
    <row r="52">
      <c r="A52" s="37" t="inlineStr">
        <is>
          <t>Performances (tickets)</t>
        </is>
      </c>
      <c r="B52" s="21">
        <f>B$30*Assumptions!$E$124*Assumptions!$E$125*Assumptions!$E$126*B$18</f>
        <v/>
      </c>
      <c r="C52" s="21">
        <f>C$30*Assumptions!$E$124*Assumptions!$E$125*Assumptions!$E$126*C$18</f>
        <v/>
      </c>
      <c r="D52" s="21">
        <f>D$30*Assumptions!$E$124*Assumptions!$E$125*Assumptions!$E$126*D$18</f>
        <v/>
      </c>
      <c r="E52" s="21">
        <f>E$30*Assumptions!$E$124*Assumptions!$E$125*Assumptions!$E$126*E$18</f>
        <v/>
      </c>
      <c r="F52" s="21">
        <f>F$30*Assumptions!$E$124*Assumptions!$E$125*Assumptions!$E$126*F$18</f>
        <v/>
      </c>
      <c r="G52" s="21">
        <f>G$30*Assumptions!$E$124*Assumptions!$E$125*Assumptions!$E$126*G$18</f>
        <v/>
      </c>
      <c r="H52" s="21">
        <f>H$30*Assumptions!$E$124*Assumptions!$E$125*Assumptions!$E$126*H$18</f>
        <v/>
      </c>
      <c r="I52" s="21">
        <f>I$30*Assumptions!$E$124*Assumptions!$E$125*Assumptions!$E$126*I$18</f>
        <v/>
      </c>
      <c r="J52" s="21">
        <f>J$30*Assumptions!$E$124*Assumptions!$E$125*Assumptions!$E$126*J$18</f>
        <v/>
      </c>
      <c r="K52" s="21">
        <f>K$30*Assumptions!$E$124*Assumptions!$E$125*Assumptions!$E$126*K$18</f>
        <v/>
      </c>
      <c r="L52" s="53">
        <f>L$30*Assumptions!$E$124*Assumptions!$E$125*Assumptions!$E$126*L$18</f>
        <v/>
      </c>
      <c r="M52" s="21">
        <f>SUM(B52:K52)</f>
        <v/>
      </c>
      <c r="N52" s="54" t="inlineStr">
        <is>
          <t>150 seats x USD 80, every seat paid (planning target, 14 Oct 2026)</t>
        </is>
      </c>
    </row>
    <row r="53">
      <c r="A53" s="37" t="inlineStr">
        <is>
          <t>Membership</t>
        </is>
      </c>
      <c r="B53" s="21">
        <f>Assumptions!$E$132*Assumptions!$E$133*B$14*B$18</f>
        <v/>
      </c>
      <c r="C53" s="21">
        <f>Assumptions!$E$132*Assumptions!$E$133*C$14*C$18</f>
        <v/>
      </c>
      <c r="D53" s="21">
        <f>Assumptions!$E$132*Assumptions!$E$133*D$14*D$18</f>
        <v/>
      </c>
      <c r="E53" s="21">
        <f>Assumptions!$E$132*Assumptions!$E$133*E$14*E$18</f>
        <v/>
      </c>
      <c r="F53" s="21">
        <f>Assumptions!$E$132*Assumptions!$E$133*F$14*F$18</f>
        <v/>
      </c>
      <c r="G53" s="21">
        <f>Assumptions!$E$132*Assumptions!$E$133*G$14*G$18</f>
        <v/>
      </c>
      <c r="H53" s="21">
        <f>Assumptions!$E$132*Assumptions!$E$133*H$14*H$18</f>
        <v/>
      </c>
      <c r="I53" s="21">
        <f>Assumptions!$E$132*Assumptions!$E$133*I$14*I$18</f>
        <v/>
      </c>
      <c r="J53" s="21">
        <f>Assumptions!$E$132*Assumptions!$E$133*J$14*J$18</f>
        <v/>
      </c>
      <c r="K53" s="21">
        <f>Assumptions!$E$132*Assumptions!$E$133*K$14*K$18</f>
        <v/>
      </c>
      <c r="L53" s="53">
        <f>Assumptions!$E$132*Assumptions!$E$133*L$14*L$18</f>
        <v/>
      </c>
      <c r="M53" s="21">
        <f>SUM(B53:K53)</f>
        <v/>
      </c>
    </row>
    <row r="54">
      <c r="A54" s="37" t="inlineStr">
        <is>
          <t>Workshops</t>
        </is>
      </c>
      <c r="B54" s="21">
        <f>Assumptions!$E$134*Assumptions!$E$135*Assumptions!$E$136*B$14*B$8*B$18</f>
        <v/>
      </c>
      <c r="C54" s="21">
        <f>Assumptions!$E$134*Assumptions!$E$135*Assumptions!$E$136*C$14*C$8*C$18</f>
        <v/>
      </c>
      <c r="D54" s="21">
        <f>Assumptions!$E$134*Assumptions!$E$135*Assumptions!$E$136*D$14*D$8*D$18</f>
        <v/>
      </c>
      <c r="E54" s="21">
        <f>Assumptions!$E$134*Assumptions!$E$135*Assumptions!$E$136*E$14*E$8*E$18</f>
        <v/>
      </c>
      <c r="F54" s="21">
        <f>Assumptions!$E$134*Assumptions!$E$135*Assumptions!$E$136*F$14*F$8*F$18</f>
        <v/>
      </c>
      <c r="G54" s="21">
        <f>Assumptions!$E$134*Assumptions!$E$135*Assumptions!$E$136*G$14*G$8*G$18</f>
        <v/>
      </c>
      <c r="H54" s="21">
        <f>Assumptions!$E$134*Assumptions!$E$135*Assumptions!$E$136*H$14*H$8*H$18</f>
        <v/>
      </c>
      <c r="I54" s="21">
        <f>Assumptions!$E$134*Assumptions!$E$135*Assumptions!$E$136*I$14*I$8*I$18</f>
        <v/>
      </c>
      <c r="J54" s="21">
        <f>Assumptions!$E$134*Assumptions!$E$135*Assumptions!$E$136*J$14*J$8*J$18</f>
        <v/>
      </c>
      <c r="K54" s="21">
        <f>Assumptions!$E$134*Assumptions!$E$135*Assumptions!$E$136*K$14*K$8*K$18</f>
        <v/>
      </c>
      <c r="L54" s="53">
        <f>Assumptions!$E$134*Assumptions!$E$135*Assumptions!$E$136*L$14*L$8*L$18</f>
        <v/>
      </c>
      <c r="M54" s="21">
        <f>SUM(B54:K54)</f>
        <v/>
      </c>
    </row>
    <row r="55">
      <c r="A55" s="37" t="inlineStr">
        <is>
          <t>Studio bookings outside residencies</t>
        </is>
      </c>
      <c r="B55" s="21">
        <f>Assumptions!$E$137*Assumptions!$E$138*B$16*B$9*B$18</f>
        <v/>
      </c>
      <c r="C55" s="21">
        <f>Assumptions!$E$137*Assumptions!$E$138*C$16*C$9*C$18</f>
        <v/>
      </c>
      <c r="D55" s="21">
        <f>Assumptions!$E$137*Assumptions!$E$138*D$16*D$9*D$18</f>
        <v/>
      </c>
      <c r="E55" s="21">
        <f>Assumptions!$E$137*Assumptions!$E$138*E$16*E$9*E$18</f>
        <v/>
      </c>
      <c r="F55" s="21">
        <f>Assumptions!$E$137*Assumptions!$E$138*F$16*F$9*F$18</f>
        <v/>
      </c>
      <c r="G55" s="21">
        <f>Assumptions!$E$137*Assumptions!$E$138*G$16*G$9*G$18</f>
        <v/>
      </c>
      <c r="H55" s="21">
        <f>Assumptions!$E$137*Assumptions!$E$138*H$16*H$9*H$18</f>
        <v/>
      </c>
      <c r="I55" s="21">
        <f>Assumptions!$E$137*Assumptions!$E$138*I$16*I$9*I$18</f>
        <v/>
      </c>
      <c r="J55" s="21">
        <f>Assumptions!$E$137*Assumptions!$E$138*J$16*J$9*J$18</f>
        <v/>
      </c>
      <c r="K55" s="21">
        <f>Assumptions!$E$137*Assumptions!$E$138*K$16*K$9*K$18</f>
        <v/>
      </c>
      <c r="L55" s="53">
        <f>Assumptions!$E$137*Assumptions!$E$138*L$16*L$9*L$18</f>
        <v/>
      </c>
      <c r="M55" s="21">
        <f>SUM(B55:K55)</f>
        <v/>
      </c>
    </row>
    <row r="56">
      <c r="A56" s="37" t="inlineStr">
        <is>
          <t>Gallery sessions, kissa bar and shop</t>
        </is>
      </c>
      <c r="B56" s="21">
        <f>Assumptions!$E$139*B$17*B$10*B$18</f>
        <v/>
      </c>
      <c r="C56" s="21">
        <f>Assumptions!$E$139*C$17*C$10*C$18</f>
        <v/>
      </c>
      <c r="D56" s="21">
        <f>Assumptions!$E$139*D$17*D$10*D$18</f>
        <v/>
      </c>
      <c r="E56" s="21">
        <f>Assumptions!$E$139*E$17*E$10*E$18</f>
        <v/>
      </c>
      <c r="F56" s="21">
        <f>Assumptions!$E$139*F$17*F$10*F$18</f>
        <v/>
      </c>
      <c r="G56" s="21">
        <f>Assumptions!$E$139*G$17*G$10*G$18</f>
        <v/>
      </c>
      <c r="H56" s="21">
        <f>Assumptions!$E$139*H$17*H$10*H$18</f>
        <v/>
      </c>
      <c r="I56" s="21">
        <f>Assumptions!$E$139*I$17*I$10*I$18</f>
        <v/>
      </c>
      <c r="J56" s="21">
        <f>Assumptions!$E$139*J$17*J$10*J$18</f>
        <v/>
      </c>
      <c r="K56" s="21">
        <f>Assumptions!$E$139*K$17*K$10*K$18</f>
        <v/>
      </c>
      <c r="L56" s="53">
        <f>Assumptions!$E$139*L$17*L$10*L$18</f>
        <v/>
      </c>
      <c r="M56" s="21">
        <f>SUM(B56:K56)</f>
        <v/>
      </c>
    </row>
    <row r="57">
      <c r="A57" s="37" t="inlineStr">
        <is>
          <t>Stage 0 pop-ups (tickets and sponsors)</t>
        </is>
      </c>
      <c r="B57" s="21">
        <f>Assumptions!$E$140*B$12*B$18</f>
        <v/>
      </c>
      <c r="C57" s="21">
        <f>Assumptions!$E$140*C$12*C$18</f>
        <v/>
      </c>
      <c r="D57" s="21">
        <f>Assumptions!$E$140*D$12*D$18</f>
        <v/>
      </c>
      <c r="E57" s="21">
        <f>Assumptions!$E$140*E$12*E$18</f>
        <v/>
      </c>
      <c r="F57" s="21">
        <f>Assumptions!$E$140*F$12*F$18</f>
        <v/>
      </c>
      <c r="G57" s="21">
        <f>Assumptions!$E$140*G$12*G$18</f>
        <v/>
      </c>
      <c r="H57" s="21">
        <f>Assumptions!$E$140*H$12*H$18</f>
        <v/>
      </c>
      <c r="I57" s="21">
        <f>Assumptions!$E$140*I$12*I$18</f>
        <v/>
      </c>
      <c r="J57" s="21">
        <f>Assumptions!$E$140*J$12*J$18</f>
        <v/>
      </c>
      <c r="K57" s="21">
        <f>Assumptions!$E$140*K$12*K$18</f>
        <v/>
      </c>
      <c r="L57" s="53">
        <f>Assumptions!$E$140*L$12*L$18</f>
        <v/>
      </c>
      <c r="M57" s="21">
        <f>SUM(B57:K57)</f>
        <v/>
      </c>
    </row>
    <row r="58">
      <c r="A58" s="61" t="inlineStr">
        <is>
          <t>TOTAL EARNED REVENUE</t>
        </is>
      </c>
      <c r="B58" s="62">
        <f>SUM(B46:B57)</f>
        <v/>
      </c>
      <c r="C58" s="62">
        <f>SUM(C46:C57)</f>
        <v/>
      </c>
      <c r="D58" s="62">
        <f>SUM(D46:D57)</f>
        <v/>
      </c>
      <c r="E58" s="62">
        <f>SUM(E46:E57)</f>
        <v/>
      </c>
      <c r="F58" s="62">
        <f>SUM(F46:F57)</f>
        <v/>
      </c>
      <c r="G58" s="62">
        <f>SUM(G46:G57)</f>
        <v/>
      </c>
      <c r="H58" s="62">
        <f>SUM(H46:H57)</f>
        <v/>
      </c>
      <c r="I58" s="62">
        <f>SUM(I46:I57)</f>
        <v/>
      </c>
      <c r="J58" s="62">
        <f>SUM(J46:J57)</f>
        <v/>
      </c>
      <c r="K58" s="62">
        <f>SUM(K46:K57)</f>
        <v/>
      </c>
      <c r="L58" s="63">
        <f>SUM(L46:L57)</f>
        <v/>
      </c>
      <c r="M58" s="62">
        <f>SUM(B58:K58)</f>
        <v/>
      </c>
    </row>
    <row r="59">
      <c r="A59" s="7" t="inlineStr">
        <is>
          <t>CONTRIBUTED INCOME (shown separately)</t>
        </is>
      </c>
      <c r="B59" s="8" t="n"/>
      <c r="C59" s="8" t="n"/>
      <c r="D59" s="8" t="n"/>
      <c r="E59" s="8" t="n"/>
      <c r="F59" s="8" t="n"/>
      <c r="G59" s="8" t="n"/>
      <c r="H59" s="8" t="n"/>
      <c r="I59" s="8" t="n"/>
      <c r="J59" s="8" t="n"/>
      <c r="K59" s="8" t="n"/>
      <c r="L59" s="8" t="n"/>
      <c r="M59" s="8" t="n"/>
      <c r="N59" s="8" t="n"/>
    </row>
    <row r="60">
      <c r="A60" s="37" t="inlineStr">
        <is>
          <t>Patrons and founding members</t>
        </is>
      </c>
      <c r="B60" s="21">
        <f>Assumptions!$E$142*B$15*B$18</f>
        <v/>
      </c>
      <c r="C60" s="21">
        <f>Assumptions!$E$142*C$15*C$18</f>
        <v/>
      </c>
      <c r="D60" s="21">
        <f>Assumptions!$E$142*D$15*D$18</f>
        <v/>
      </c>
      <c r="E60" s="21">
        <f>Assumptions!$E$142*E$15*E$18</f>
        <v/>
      </c>
      <c r="F60" s="21">
        <f>Assumptions!$E$142*F$15*F$18</f>
        <v/>
      </c>
      <c r="G60" s="21">
        <f>Assumptions!$E$142*G$15*G$18</f>
        <v/>
      </c>
      <c r="H60" s="21">
        <f>Assumptions!$E$142*H$15*H$18</f>
        <v/>
      </c>
      <c r="I60" s="21">
        <f>Assumptions!$E$142*I$15*I$18</f>
        <v/>
      </c>
      <c r="J60" s="21">
        <f>Assumptions!$E$142*J$15*J$18</f>
        <v/>
      </c>
      <c r="K60" s="21">
        <f>Assumptions!$E$142*K$15*K$18</f>
        <v/>
      </c>
      <c r="L60" s="53">
        <f>Assumptions!$E$142*L$15*L$18</f>
        <v/>
      </c>
      <c r="M60" s="21">
        <f>SUM(B60:K60)</f>
        <v/>
      </c>
    </row>
    <row r="61">
      <c r="A61" s="37" t="inlineStr">
        <is>
          <t>Residency underwriting (foundations, labels, brands)</t>
        </is>
      </c>
      <c r="B61" s="21">
        <f>B$22*(1-Assumptions!$E$108)*Assumptions!$E$143*B$18</f>
        <v/>
      </c>
      <c r="C61" s="21">
        <f>C$22*(1-Assumptions!$E$108)*Assumptions!$E$143*C$18</f>
        <v/>
      </c>
      <c r="D61" s="21">
        <f>D$22*(1-Assumptions!$E$108)*Assumptions!$E$143*D$18</f>
        <v/>
      </c>
      <c r="E61" s="21">
        <f>E$22*(1-Assumptions!$E$108)*Assumptions!$E$143*E$18</f>
        <v/>
      </c>
      <c r="F61" s="21">
        <f>F$22*(1-Assumptions!$E$108)*Assumptions!$E$143*F$18</f>
        <v/>
      </c>
      <c r="G61" s="21">
        <f>G$22*(1-Assumptions!$E$108)*Assumptions!$E$143*G$18</f>
        <v/>
      </c>
      <c r="H61" s="21">
        <f>H$22*(1-Assumptions!$E$108)*Assumptions!$E$143*H$18</f>
        <v/>
      </c>
      <c r="I61" s="21">
        <f>I$22*(1-Assumptions!$E$108)*Assumptions!$E$143*I$18</f>
        <v/>
      </c>
      <c r="J61" s="21">
        <f>J$22*(1-Assumptions!$E$108)*Assumptions!$E$143*J$18</f>
        <v/>
      </c>
      <c r="K61" s="21">
        <f>K$22*(1-Assumptions!$E$108)*Assumptions!$E$143*K$18</f>
        <v/>
      </c>
      <c r="L61" s="53">
        <f>L$22*(1-Assumptions!$E$108)*Assumptions!$E$143*L$18</f>
        <v/>
      </c>
      <c r="M61" s="21">
        <f>SUM(B61:K61)</f>
        <v/>
      </c>
      <c r="N61" s="54" t="inlineStr">
        <is>
          <t>Fellowships: residencies not paid by labels or artists</t>
        </is>
      </c>
    </row>
    <row r="62">
      <c r="A62" s="37" t="inlineStr">
        <is>
          <t>Brand and gear partners (cash)</t>
        </is>
      </c>
      <c r="B62" s="21">
        <f>Assumptions!$E$144*B$15*B$18</f>
        <v/>
      </c>
      <c r="C62" s="21">
        <f>Assumptions!$E$144*C$15*C$18</f>
        <v/>
      </c>
      <c r="D62" s="21">
        <f>Assumptions!$E$144*D$15*D$18</f>
        <v/>
      </c>
      <c r="E62" s="21">
        <f>Assumptions!$E$144*E$15*E$18</f>
        <v/>
      </c>
      <c r="F62" s="21">
        <f>Assumptions!$E$144*F$15*F$18</f>
        <v/>
      </c>
      <c r="G62" s="21">
        <f>Assumptions!$E$144*G$15*G$18</f>
        <v/>
      </c>
      <c r="H62" s="21">
        <f>Assumptions!$E$144*H$15*H$18</f>
        <v/>
      </c>
      <c r="I62" s="21">
        <f>Assumptions!$E$144*I$15*I$18</f>
        <v/>
      </c>
      <c r="J62" s="21">
        <f>Assumptions!$E$144*J$15*J$18</f>
        <v/>
      </c>
      <c r="K62" s="21">
        <f>Assumptions!$E$144*K$15*K$18</f>
        <v/>
      </c>
      <c r="L62" s="53">
        <f>Assumptions!$E$144*L$15*L$18</f>
        <v/>
      </c>
      <c r="M62" s="21">
        <f>SUM(B62:K62)</f>
        <v/>
      </c>
    </row>
    <row r="63">
      <c r="A63" s="37" t="inlineStr">
        <is>
          <t>Grants (nonprofit arm or fiscal sponsor)</t>
        </is>
      </c>
      <c r="B63" s="21">
        <f>Assumptions!$E$145*B$15*B$18</f>
        <v/>
      </c>
      <c r="C63" s="21">
        <f>Assumptions!$E$145*C$15*C$18</f>
        <v/>
      </c>
      <c r="D63" s="21">
        <f>Assumptions!$E$145*D$15*D$18</f>
        <v/>
      </c>
      <c r="E63" s="21">
        <f>Assumptions!$E$145*E$15*E$18</f>
        <v/>
      </c>
      <c r="F63" s="21">
        <f>Assumptions!$E$145*F$15*F$18</f>
        <v/>
      </c>
      <c r="G63" s="21">
        <f>Assumptions!$E$145*G$15*G$18</f>
        <v/>
      </c>
      <c r="H63" s="21">
        <f>Assumptions!$E$145*H$15*H$18</f>
        <v/>
      </c>
      <c r="I63" s="21">
        <f>Assumptions!$E$145*I$15*I$18</f>
        <v/>
      </c>
      <c r="J63" s="21">
        <f>Assumptions!$E$145*J$15*J$18</f>
        <v/>
      </c>
      <c r="K63" s="21">
        <f>Assumptions!$E$145*K$15*K$18</f>
        <v/>
      </c>
      <c r="L63" s="53">
        <f>Assumptions!$E$145*L$15*L$18</f>
        <v/>
      </c>
      <c r="M63" s="21">
        <f>SUM(B63:K63)</f>
        <v/>
      </c>
    </row>
    <row r="64">
      <c r="A64" s="61" t="inlineStr">
        <is>
          <t>TOTAL CONTRIBUTED INCOME</t>
        </is>
      </c>
      <c r="B64" s="62">
        <f>SUM(B60:B63)</f>
        <v/>
      </c>
      <c r="C64" s="62">
        <f>SUM(C60:C63)</f>
        <v/>
      </c>
      <c r="D64" s="62">
        <f>SUM(D60:D63)</f>
        <v/>
      </c>
      <c r="E64" s="62">
        <f>SUM(E60:E63)</f>
        <v/>
      </c>
      <c r="F64" s="62">
        <f>SUM(F60:F63)</f>
        <v/>
      </c>
      <c r="G64" s="62">
        <f>SUM(G60:G63)</f>
        <v/>
      </c>
      <c r="H64" s="62">
        <f>SUM(H60:H63)</f>
        <v/>
      </c>
      <c r="I64" s="62">
        <f>SUM(I60:I63)</f>
        <v/>
      </c>
      <c r="J64" s="62">
        <f>SUM(J60:J63)</f>
        <v/>
      </c>
      <c r="K64" s="62">
        <f>SUM(K60:K63)</f>
        <v/>
      </c>
      <c r="L64" s="63">
        <f>SUM(L60:L63)</f>
        <v/>
      </c>
      <c r="M64" s="62">
        <f>SUM(B64:K64)</f>
        <v/>
      </c>
    </row>
    <row r="65">
      <c r="A65" s="64" t="inlineStr">
        <is>
          <t>Total revenue (earned + contributed)</t>
        </is>
      </c>
      <c r="B65" s="20">
        <f>B$58+B$64</f>
        <v/>
      </c>
      <c r="C65" s="20">
        <f>C$58+C$64</f>
        <v/>
      </c>
      <c r="D65" s="20">
        <f>D$58+D$64</f>
        <v/>
      </c>
      <c r="E65" s="20">
        <f>E$58+E$64</f>
        <v/>
      </c>
      <c r="F65" s="20">
        <f>F$58+F$64</f>
        <v/>
      </c>
      <c r="G65" s="20">
        <f>G$58+G$64</f>
        <v/>
      </c>
      <c r="H65" s="20">
        <f>H$58+H$64</f>
        <v/>
      </c>
      <c r="I65" s="20">
        <f>I$58+I$64</f>
        <v/>
      </c>
      <c r="J65" s="20">
        <f>J$58+J$64</f>
        <v/>
      </c>
      <c r="K65" s="20">
        <f>K$58+K$64</f>
        <v/>
      </c>
      <c r="L65" s="65">
        <f>L$58+L$64</f>
        <v/>
      </c>
      <c r="M65" s="20">
        <f>SUM(B65:K65)</f>
        <v/>
      </c>
    </row>
    <row r="66">
      <c r="A66" s="37" t="inlineStr">
        <is>
          <t>Earned share of total revenue</t>
        </is>
      </c>
      <c r="B66" s="55">
        <f>IF(B$65&gt;0,B$58/B$65,0)</f>
        <v/>
      </c>
      <c r="C66" s="55">
        <f>IF(C$65&gt;0,C$58/C$65,0)</f>
        <v/>
      </c>
      <c r="D66" s="55">
        <f>IF(D$65&gt;0,D$58/D$65,0)</f>
        <v/>
      </c>
      <c r="E66" s="55">
        <f>IF(E$65&gt;0,E$58/E$65,0)</f>
        <v/>
      </c>
      <c r="F66" s="55">
        <f>IF(F$65&gt;0,F$58/F$65,0)</f>
        <v/>
      </c>
      <c r="G66" s="55">
        <f>IF(G$65&gt;0,G$58/G$65,0)</f>
        <v/>
      </c>
      <c r="H66" s="55">
        <f>IF(H$65&gt;0,H$58/H$65,0)</f>
        <v/>
      </c>
      <c r="I66" s="55">
        <f>IF(I$65&gt;0,I$58/I$65,0)</f>
        <v/>
      </c>
      <c r="J66" s="55">
        <f>IF(J$65&gt;0,J$58/J$65,0)</f>
        <v/>
      </c>
      <c r="K66" s="55">
        <f>IF(K$65&gt;0,K$58/K$65,0)</f>
        <v/>
      </c>
      <c r="L66" s="56">
        <f>IF(L$65&gt;0,L$58/L$65,0)</f>
        <v/>
      </c>
    </row>
    <row r="67">
      <c r="A67" s="7" t="inlineStr">
        <is>
          <t>OPERATING EXPENSES</t>
        </is>
      </c>
      <c r="B67" s="8" t="n"/>
      <c r="C67" s="8" t="n"/>
      <c r="D67" s="8" t="n"/>
      <c r="E67" s="8" t="n"/>
      <c r="F67" s="8" t="n"/>
      <c r="G67" s="8" t="n"/>
      <c r="H67" s="8" t="n"/>
      <c r="I67" s="8" t="n"/>
      <c r="J67" s="8" t="n"/>
      <c r="K67" s="8" t="n"/>
      <c r="L67" s="8" t="n"/>
      <c r="M67" s="8" t="n"/>
      <c r="N67" s="8" t="n"/>
    </row>
    <row r="68">
      <c r="A68" s="66" t="inlineStr">
        <is>
          <t>Staff: CEO</t>
        </is>
      </c>
      <c r="B68" s="47">
        <f>Assumptions!$E$198*Assumptions!$E$199*Assumptions!$E$167*B$8*B$18</f>
        <v/>
      </c>
      <c r="C68" s="47">
        <f>Assumptions!$E$198*Assumptions!$E$199*Assumptions!$E$167*C$8*C$18</f>
        <v/>
      </c>
      <c r="D68" s="47">
        <f>Assumptions!$E$198*Assumptions!$E$199*Assumptions!$E$167*D$8*D$18</f>
        <v/>
      </c>
      <c r="E68" s="47">
        <f>Assumptions!$E$198*Assumptions!$E$199*Assumptions!$E$167*E$8*E$18</f>
        <v/>
      </c>
      <c r="F68" s="47">
        <f>Assumptions!$E$198*Assumptions!$E$199*Assumptions!$E$167*F$8*F$18</f>
        <v/>
      </c>
      <c r="G68" s="47">
        <f>Assumptions!$E$198*Assumptions!$E$199*Assumptions!$E$167*G$8*G$18</f>
        <v/>
      </c>
      <c r="H68" s="47">
        <f>Assumptions!$E$198*Assumptions!$E$199*Assumptions!$E$167*H$8*H$18</f>
        <v/>
      </c>
      <c r="I68" s="47">
        <f>Assumptions!$E$198*Assumptions!$E$199*Assumptions!$E$167*I$8*I$18</f>
        <v/>
      </c>
      <c r="J68" s="47">
        <f>Assumptions!$E$198*Assumptions!$E$199*Assumptions!$E$167*J$8*J$18</f>
        <v/>
      </c>
      <c r="K68" s="47">
        <f>Assumptions!$E$198*Assumptions!$E$199*Assumptions!$E$167*K$8*K$18</f>
        <v/>
      </c>
      <c r="L68" s="67">
        <f>Assumptions!$E$198*Assumptions!$E$199*Assumptions!$E$167*L$8*L$18</f>
        <v/>
      </c>
      <c r="M68" s="47">
        <f>SUM(B68:K68)</f>
        <v/>
      </c>
    </row>
    <row r="69">
      <c r="A69" s="66" t="inlineStr">
        <is>
          <t>Staff: COO</t>
        </is>
      </c>
      <c r="B69" s="47">
        <f>Assumptions!$E$200*Assumptions!$E$201*Assumptions!$E$167*B$8*B$18</f>
        <v/>
      </c>
      <c r="C69" s="47">
        <f>Assumptions!$E$200*Assumptions!$E$201*Assumptions!$E$167*C$8*C$18</f>
        <v/>
      </c>
      <c r="D69" s="47">
        <f>Assumptions!$E$200*Assumptions!$E$201*Assumptions!$E$167*D$8*D$18</f>
        <v/>
      </c>
      <c r="E69" s="47">
        <f>Assumptions!$E$200*Assumptions!$E$201*Assumptions!$E$167*E$8*E$18</f>
        <v/>
      </c>
      <c r="F69" s="47">
        <f>Assumptions!$E$200*Assumptions!$E$201*Assumptions!$E$167*F$8*F$18</f>
        <v/>
      </c>
      <c r="G69" s="47">
        <f>Assumptions!$E$200*Assumptions!$E$201*Assumptions!$E$167*G$8*G$18</f>
        <v/>
      </c>
      <c r="H69" s="47">
        <f>Assumptions!$E$200*Assumptions!$E$201*Assumptions!$E$167*H$8*H$18</f>
        <v/>
      </c>
      <c r="I69" s="47">
        <f>Assumptions!$E$200*Assumptions!$E$201*Assumptions!$E$167*I$8*I$18</f>
        <v/>
      </c>
      <c r="J69" s="47">
        <f>Assumptions!$E$200*Assumptions!$E$201*Assumptions!$E$167*J$8*J$18</f>
        <v/>
      </c>
      <c r="K69" s="47">
        <f>Assumptions!$E$200*Assumptions!$E$201*Assumptions!$E$167*K$8*K$18</f>
        <v/>
      </c>
      <c r="L69" s="67">
        <f>Assumptions!$E$200*Assumptions!$E$201*Assumptions!$E$167*L$8*L$18</f>
        <v/>
      </c>
      <c r="M69" s="47">
        <f>SUM(B69:K69)</f>
        <v/>
      </c>
    </row>
    <row r="70">
      <c r="A70" s="66" t="inlineStr">
        <is>
          <t>Staff: Fractional CFO</t>
        </is>
      </c>
      <c r="B70" s="47">
        <f>Assumptions!$E$202*Assumptions!$E$203*Assumptions!$E$167*B$8*B$18</f>
        <v/>
      </c>
      <c r="C70" s="47">
        <f>Assumptions!$E$202*Assumptions!$E$203*Assumptions!$E$167*C$8*C$18</f>
        <v/>
      </c>
      <c r="D70" s="47">
        <f>Assumptions!$E$202*Assumptions!$E$203*Assumptions!$E$167*D$8*D$18</f>
        <v/>
      </c>
      <c r="E70" s="47">
        <f>Assumptions!$E$202*Assumptions!$E$203*Assumptions!$E$167*E$8*E$18</f>
        <v/>
      </c>
      <c r="F70" s="47">
        <f>Assumptions!$E$202*Assumptions!$E$203*Assumptions!$E$167*F$8*F$18</f>
        <v/>
      </c>
      <c r="G70" s="47">
        <f>Assumptions!$E$202*Assumptions!$E$203*Assumptions!$E$167*G$8*G$18</f>
        <v/>
      </c>
      <c r="H70" s="47">
        <f>Assumptions!$E$202*Assumptions!$E$203*Assumptions!$E$167*H$8*H$18</f>
        <v/>
      </c>
      <c r="I70" s="47">
        <f>Assumptions!$E$202*Assumptions!$E$203*Assumptions!$E$167*I$8*I$18</f>
        <v/>
      </c>
      <c r="J70" s="47">
        <f>Assumptions!$E$202*Assumptions!$E$203*Assumptions!$E$167*J$8*J$18</f>
        <v/>
      </c>
      <c r="K70" s="47">
        <f>Assumptions!$E$202*Assumptions!$E$203*Assumptions!$E$167*K$8*K$18</f>
        <v/>
      </c>
      <c r="L70" s="67">
        <f>Assumptions!$E$202*Assumptions!$E$203*Assumptions!$E$167*L$8*L$18</f>
        <v/>
      </c>
      <c r="M70" s="47">
        <f>SUM(B70:K70)</f>
        <v/>
      </c>
    </row>
    <row r="71">
      <c r="A71" s="66" t="inlineStr">
        <is>
          <t>Staff: Head of programming</t>
        </is>
      </c>
      <c r="B71" s="47">
        <f>Assumptions!$E$204*Assumptions!$E$205*Assumptions!$E$167*B$8*B$18</f>
        <v/>
      </c>
      <c r="C71" s="47">
        <f>Assumptions!$E$204*Assumptions!$E$205*Assumptions!$E$167*C$8*C$18</f>
        <v/>
      </c>
      <c r="D71" s="47">
        <f>Assumptions!$E$204*Assumptions!$E$205*Assumptions!$E$167*D$8*D$18</f>
        <v/>
      </c>
      <c r="E71" s="47">
        <f>Assumptions!$E$204*Assumptions!$E$205*Assumptions!$E$167*E$8*E$18</f>
        <v/>
      </c>
      <c r="F71" s="47">
        <f>Assumptions!$E$204*Assumptions!$E$205*Assumptions!$E$167*F$8*F$18</f>
        <v/>
      </c>
      <c r="G71" s="47">
        <f>Assumptions!$E$204*Assumptions!$E$205*Assumptions!$E$167*G$8*G$18</f>
        <v/>
      </c>
      <c r="H71" s="47">
        <f>Assumptions!$E$204*Assumptions!$E$205*Assumptions!$E$167*H$8*H$18</f>
        <v/>
      </c>
      <c r="I71" s="47">
        <f>Assumptions!$E$204*Assumptions!$E$205*Assumptions!$E$167*I$8*I$18</f>
        <v/>
      </c>
      <c r="J71" s="47">
        <f>Assumptions!$E$204*Assumptions!$E$205*Assumptions!$E$167*J$8*J$18</f>
        <v/>
      </c>
      <c r="K71" s="47">
        <f>Assumptions!$E$204*Assumptions!$E$205*Assumptions!$E$167*K$8*K$18</f>
        <v/>
      </c>
      <c r="L71" s="67">
        <f>Assumptions!$E$204*Assumptions!$E$205*Assumptions!$E$167*L$8*L$18</f>
        <v/>
      </c>
      <c r="M71" s="47">
        <f>SUM(B71:K71)</f>
        <v/>
      </c>
    </row>
    <row r="72">
      <c r="A72" s="66" t="inlineStr">
        <is>
          <t>Staff: Head of operations</t>
        </is>
      </c>
      <c r="B72" s="47">
        <f>Assumptions!$E$206*Assumptions!$E$207*Assumptions!$E$167*B$8*B$18</f>
        <v/>
      </c>
      <c r="C72" s="47">
        <f>Assumptions!$E$206*Assumptions!$E$207*Assumptions!$E$167*C$8*C$18</f>
        <v/>
      </c>
      <c r="D72" s="47">
        <f>Assumptions!$E$206*Assumptions!$E$207*Assumptions!$E$167*D$8*D$18</f>
        <v/>
      </c>
      <c r="E72" s="47">
        <f>Assumptions!$E$206*Assumptions!$E$207*Assumptions!$E$167*E$8*E$18</f>
        <v/>
      </c>
      <c r="F72" s="47">
        <f>Assumptions!$E$206*Assumptions!$E$207*Assumptions!$E$167*F$8*F$18</f>
        <v/>
      </c>
      <c r="G72" s="47">
        <f>Assumptions!$E$206*Assumptions!$E$207*Assumptions!$E$167*G$8*G$18</f>
        <v/>
      </c>
      <c r="H72" s="47">
        <f>Assumptions!$E$206*Assumptions!$E$207*Assumptions!$E$167*H$8*H$18</f>
        <v/>
      </c>
      <c r="I72" s="47">
        <f>Assumptions!$E$206*Assumptions!$E$207*Assumptions!$E$167*I$8*I$18</f>
        <v/>
      </c>
      <c r="J72" s="47">
        <f>Assumptions!$E$206*Assumptions!$E$207*Assumptions!$E$167*J$8*J$18</f>
        <v/>
      </c>
      <c r="K72" s="47">
        <f>Assumptions!$E$206*Assumptions!$E$207*Assumptions!$E$167*K$8*K$18</f>
        <v/>
      </c>
      <c r="L72" s="67">
        <f>Assumptions!$E$206*Assumptions!$E$207*Assumptions!$E$167*L$8*L$18</f>
        <v/>
      </c>
      <c r="M72" s="47">
        <f>SUM(B72:K72)</f>
        <v/>
      </c>
    </row>
    <row r="73">
      <c r="A73" s="66" t="inlineStr">
        <is>
          <t>Staff: Head of marketing and partnerships</t>
        </is>
      </c>
      <c r="B73" s="47">
        <f>Assumptions!$E$208*Assumptions!$E$209*Assumptions!$E$167*B$8*B$18</f>
        <v/>
      </c>
      <c r="C73" s="47">
        <f>Assumptions!$E$208*Assumptions!$E$209*Assumptions!$E$167*C$8*C$18</f>
        <v/>
      </c>
      <c r="D73" s="47">
        <f>Assumptions!$E$208*Assumptions!$E$209*Assumptions!$E$167*D$8*D$18</f>
        <v/>
      </c>
      <c r="E73" s="47">
        <f>Assumptions!$E$208*Assumptions!$E$209*Assumptions!$E$167*E$8*E$18</f>
        <v/>
      </c>
      <c r="F73" s="47">
        <f>Assumptions!$E$208*Assumptions!$E$209*Assumptions!$E$167*F$8*F$18</f>
        <v/>
      </c>
      <c r="G73" s="47">
        <f>Assumptions!$E$208*Assumptions!$E$209*Assumptions!$E$167*G$8*G$18</f>
        <v/>
      </c>
      <c r="H73" s="47">
        <f>Assumptions!$E$208*Assumptions!$E$209*Assumptions!$E$167*H$8*H$18</f>
        <v/>
      </c>
      <c r="I73" s="47">
        <f>Assumptions!$E$208*Assumptions!$E$209*Assumptions!$E$167*I$8*I$18</f>
        <v/>
      </c>
      <c r="J73" s="47">
        <f>Assumptions!$E$208*Assumptions!$E$209*Assumptions!$E$167*J$8*J$18</f>
        <v/>
      </c>
      <c r="K73" s="47">
        <f>Assumptions!$E$208*Assumptions!$E$209*Assumptions!$E$167*K$8*K$18</f>
        <v/>
      </c>
      <c r="L73" s="67">
        <f>Assumptions!$E$208*Assumptions!$E$209*Assumptions!$E$167*L$8*L$18</f>
        <v/>
      </c>
      <c r="M73" s="47">
        <f>SUM(B73:K73)</f>
        <v/>
      </c>
    </row>
    <row r="74">
      <c r="A74" s="66" t="inlineStr">
        <is>
          <t>Staff: Gardener and groundskeeper</t>
        </is>
      </c>
      <c r="B74" s="47">
        <f>Assumptions!$E$210*Assumptions!$E$211*Assumptions!$E$167*B$8*B$18</f>
        <v/>
      </c>
      <c r="C74" s="47">
        <f>Assumptions!$E$210*Assumptions!$E$211*Assumptions!$E$167*C$8*C$18</f>
        <v/>
      </c>
      <c r="D74" s="47">
        <f>Assumptions!$E$210*Assumptions!$E$211*Assumptions!$E$167*D$8*D$18</f>
        <v/>
      </c>
      <c r="E74" s="47">
        <f>Assumptions!$E$210*Assumptions!$E$211*Assumptions!$E$167*E$8*E$18</f>
        <v/>
      </c>
      <c r="F74" s="47">
        <f>Assumptions!$E$210*Assumptions!$E$211*Assumptions!$E$167*F$8*F$18</f>
        <v/>
      </c>
      <c r="G74" s="47">
        <f>Assumptions!$E$210*Assumptions!$E$211*Assumptions!$E$167*G$8*G$18</f>
        <v/>
      </c>
      <c r="H74" s="47">
        <f>Assumptions!$E$210*Assumptions!$E$211*Assumptions!$E$167*H$8*H$18</f>
        <v/>
      </c>
      <c r="I74" s="47">
        <f>Assumptions!$E$210*Assumptions!$E$211*Assumptions!$E$167*I$8*I$18</f>
        <v/>
      </c>
      <c r="J74" s="47">
        <f>Assumptions!$E$210*Assumptions!$E$211*Assumptions!$E$167*J$8*J$18</f>
        <v/>
      </c>
      <c r="K74" s="47">
        <f>Assumptions!$E$210*Assumptions!$E$211*Assumptions!$E$167*K$8*K$18</f>
        <v/>
      </c>
      <c r="L74" s="67">
        <f>Assumptions!$E$210*Assumptions!$E$211*Assumptions!$E$167*L$8*L$18</f>
        <v/>
      </c>
      <c r="M74" s="47">
        <f>SUM(B74:K74)</f>
        <v/>
      </c>
    </row>
    <row r="75">
      <c r="A75" s="66" t="inlineStr">
        <is>
          <t>Staff: Cleaner</t>
        </is>
      </c>
      <c r="B75" s="47">
        <f>Assumptions!$E$212*Assumptions!$E$213*Assumptions!$E$167*B$8*B$18</f>
        <v/>
      </c>
      <c r="C75" s="47">
        <f>Assumptions!$E$212*Assumptions!$E$213*Assumptions!$E$167*C$8*C$18</f>
        <v/>
      </c>
      <c r="D75" s="47">
        <f>Assumptions!$E$212*Assumptions!$E$213*Assumptions!$E$167*D$8*D$18</f>
        <v/>
      </c>
      <c r="E75" s="47">
        <f>Assumptions!$E$212*Assumptions!$E$213*Assumptions!$E$167*E$8*E$18</f>
        <v/>
      </c>
      <c r="F75" s="47">
        <f>Assumptions!$E$212*Assumptions!$E$213*Assumptions!$E$167*F$8*F$18</f>
        <v/>
      </c>
      <c r="G75" s="47">
        <f>Assumptions!$E$212*Assumptions!$E$213*Assumptions!$E$167*G$8*G$18</f>
        <v/>
      </c>
      <c r="H75" s="47">
        <f>Assumptions!$E$212*Assumptions!$E$213*Assumptions!$E$167*H$8*H$18</f>
        <v/>
      </c>
      <c r="I75" s="47">
        <f>Assumptions!$E$212*Assumptions!$E$213*Assumptions!$E$167*I$8*I$18</f>
        <v/>
      </c>
      <c r="J75" s="47">
        <f>Assumptions!$E$212*Assumptions!$E$213*Assumptions!$E$167*J$8*J$18</f>
        <v/>
      </c>
      <c r="K75" s="47">
        <f>Assumptions!$E$212*Assumptions!$E$213*Assumptions!$E$167*K$8*K$18</f>
        <v/>
      </c>
      <c r="L75" s="67">
        <f>Assumptions!$E$212*Assumptions!$E$213*Assumptions!$E$167*L$8*L$18</f>
        <v/>
      </c>
      <c r="M75" s="47">
        <f>SUM(B75:K75)</f>
        <v/>
      </c>
    </row>
    <row r="76">
      <c r="A76" s="64" t="inlineStr">
        <is>
          <t>Staff (salaries, payroll taxes and benefits)</t>
        </is>
      </c>
      <c r="B76" s="20">
        <f>SUM(B68:B75)</f>
        <v/>
      </c>
      <c r="C76" s="20">
        <f>SUM(C68:C75)</f>
        <v/>
      </c>
      <c r="D76" s="20">
        <f>SUM(D68:D75)</f>
        <v/>
      </c>
      <c r="E76" s="20">
        <f>SUM(E68:E75)</f>
        <v/>
      </c>
      <c r="F76" s="20">
        <f>SUM(F68:F75)</f>
        <v/>
      </c>
      <c r="G76" s="20">
        <f>SUM(G68:G75)</f>
        <v/>
      </c>
      <c r="H76" s="20">
        <f>SUM(H68:H75)</f>
        <v/>
      </c>
      <c r="I76" s="20">
        <f>SUM(I68:I75)</f>
        <v/>
      </c>
      <c r="J76" s="20">
        <f>SUM(J68:J75)</f>
        <v/>
      </c>
      <c r="K76" s="20">
        <f>SUM(K68:K75)</f>
        <v/>
      </c>
      <c r="L76" s="65">
        <f>SUM(L68:L75)</f>
        <v/>
      </c>
      <c r="M76" s="20">
        <f>SUM(B76:K76)</f>
        <v/>
      </c>
    </row>
    <row r="77">
      <c r="A77" s="37" t="inlineStr">
        <is>
          <t>Contract services for programs and events (chefs and kitchen help, studio engineers, live sound, extra housekeeping)</t>
        </is>
      </c>
      <c r="B77" s="21">
        <f>Assumptions!$E$168*B$8*B$18</f>
        <v/>
      </c>
      <c r="C77" s="21">
        <f>Assumptions!$E$168*C$8*C$18</f>
        <v/>
      </c>
      <c r="D77" s="21">
        <f>Assumptions!$E$168*D$8*D$18</f>
        <v/>
      </c>
      <c r="E77" s="21">
        <f>Assumptions!$E$168*E$8*E$18</f>
        <v/>
      </c>
      <c r="F77" s="21">
        <f>Assumptions!$E$168*F$8*F$18</f>
        <v/>
      </c>
      <c r="G77" s="21">
        <f>Assumptions!$E$168*G$8*G$18</f>
        <v/>
      </c>
      <c r="H77" s="21">
        <f>Assumptions!$E$168*H$8*H$18</f>
        <v/>
      </c>
      <c r="I77" s="21">
        <f>Assumptions!$E$168*I$8*I$18</f>
        <v/>
      </c>
      <c r="J77" s="21">
        <f>Assumptions!$E$168*J$8*J$18</f>
        <v/>
      </c>
      <c r="K77" s="21">
        <f>Assumptions!$E$168*K$8*K$18</f>
        <v/>
      </c>
      <c r="L77" s="53">
        <f>Assumptions!$E$168*L$8*L$18</f>
        <v/>
      </c>
      <c r="M77" s="21">
        <f>SUM(B77:K77)</f>
        <v/>
      </c>
      <c r="N77" s="54" t="inlineStr">
        <is>
          <t>Chefs, kitchen help, studio engineers, live sound, extra housekeeping</t>
        </is>
      </c>
    </row>
    <row r="78">
      <c r="A78" s="37" t="inlineStr">
        <is>
          <t>Residency program (artist fees, travel, studio support, films, meals)</t>
        </is>
      </c>
      <c r="B78" s="21">
        <f>B$22*(Assumptions!$E$157+Assumptions!$E$158+Assumptions!$E$159+Assumptions!$E$160+Assumptions!$E$161)*B$18</f>
        <v/>
      </c>
      <c r="C78" s="21">
        <f>C$22*(Assumptions!$E$157+Assumptions!$E$158+Assumptions!$E$159+Assumptions!$E$160+Assumptions!$E$161)*C$18</f>
        <v/>
      </c>
      <c r="D78" s="21">
        <f>D$22*(Assumptions!$E$157+Assumptions!$E$158+Assumptions!$E$159+Assumptions!$E$160+Assumptions!$E$161)*D$18</f>
        <v/>
      </c>
      <c r="E78" s="21">
        <f>E$22*(Assumptions!$E$157+Assumptions!$E$158+Assumptions!$E$159+Assumptions!$E$160+Assumptions!$E$161)*E$18</f>
        <v/>
      </c>
      <c r="F78" s="21">
        <f>F$22*(Assumptions!$E$157+Assumptions!$E$158+Assumptions!$E$159+Assumptions!$E$160+Assumptions!$E$161)*F$18</f>
        <v/>
      </c>
      <c r="G78" s="21">
        <f>G$22*(Assumptions!$E$157+Assumptions!$E$158+Assumptions!$E$159+Assumptions!$E$160+Assumptions!$E$161)*G$18</f>
        <v/>
      </c>
      <c r="H78" s="21">
        <f>H$22*(Assumptions!$E$157+Assumptions!$E$158+Assumptions!$E$159+Assumptions!$E$160+Assumptions!$E$161)*H$18</f>
        <v/>
      </c>
      <c r="I78" s="21">
        <f>I$22*(Assumptions!$E$157+Assumptions!$E$158+Assumptions!$E$159+Assumptions!$E$160+Assumptions!$E$161)*I$18</f>
        <v/>
      </c>
      <c r="J78" s="21">
        <f>J$22*(Assumptions!$E$157+Assumptions!$E$158+Assumptions!$E$159+Assumptions!$E$160+Assumptions!$E$161)*J$18</f>
        <v/>
      </c>
      <c r="K78" s="21">
        <f>K$22*(Assumptions!$E$157+Assumptions!$E$158+Assumptions!$E$159+Assumptions!$E$160+Assumptions!$E$161)*K$18</f>
        <v/>
      </c>
      <c r="L78" s="53">
        <f>L$22*(Assumptions!$E$157+Assumptions!$E$158+Assumptions!$E$159+Assumptions!$E$160+Assumptions!$E$161)*L$18</f>
        <v/>
      </c>
      <c r="M78" s="21">
        <f>SUM(B78:K78)</f>
        <v/>
      </c>
    </row>
    <row r="79">
      <c r="A79" s="37" t="inlineStr">
        <is>
          <t>Performance production</t>
        </is>
      </c>
      <c r="B79" s="21">
        <f>B$30*Assumptions!$E$162*B$18</f>
        <v/>
      </c>
      <c r="C79" s="21">
        <f>C$30*Assumptions!$E$162*C$18</f>
        <v/>
      </c>
      <c r="D79" s="21">
        <f>D$30*Assumptions!$E$162*D$18</f>
        <v/>
      </c>
      <c r="E79" s="21">
        <f>E$30*Assumptions!$E$162*E$18</f>
        <v/>
      </c>
      <c r="F79" s="21">
        <f>F$30*Assumptions!$E$162*F$18</f>
        <v/>
      </c>
      <c r="G79" s="21">
        <f>G$30*Assumptions!$E$162*G$18</f>
        <v/>
      </c>
      <c r="H79" s="21">
        <f>H$30*Assumptions!$E$162*H$18</f>
        <v/>
      </c>
      <c r="I79" s="21">
        <f>I$30*Assumptions!$E$162*I$18</f>
        <v/>
      </c>
      <c r="J79" s="21">
        <f>J$30*Assumptions!$E$162*J$18</f>
        <v/>
      </c>
      <c r="K79" s="21">
        <f>K$30*Assumptions!$E$162*K$18</f>
        <v/>
      </c>
      <c r="L79" s="53">
        <f>L$30*Assumptions!$E$162*L$18</f>
        <v/>
      </c>
      <c r="M79" s="21">
        <f>SUM(B79:K79)</f>
        <v/>
      </c>
    </row>
    <row r="80">
      <c r="A80" s="37" t="inlineStr">
        <is>
          <t>Program fixed (content, honoraria, showcases, access fund)</t>
        </is>
      </c>
      <c r="B80" s="21">
        <f>Assumptions!$E$163*B$8*B$18</f>
        <v/>
      </c>
      <c r="C80" s="21">
        <f>Assumptions!$E$163*C$8*C$18</f>
        <v/>
      </c>
      <c r="D80" s="21">
        <f>Assumptions!$E$163*D$8*D$18</f>
        <v/>
      </c>
      <c r="E80" s="21">
        <f>Assumptions!$E$163*E$8*E$18</f>
        <v/>
      </c>
      <c r="F80" s="21">
        <f>Assumptions!$E$163*F$8*F$18</f>
        <v/>
      </c>
      <c r="G80" s="21">
        <f>Assumptions!$E$163*G$8*G$18</f>
        <v/>
      </c>
      <c r="H80" s="21">
        <f>Assumptions!$E$163*H$8*H$18</f>
        <v/>
      </c>
      <c r="I80" s="21">
        <f>Assumptions!$E$163*I$8*I$18</f>
        <v/>
      </c>
      <c r="J80" s="21">
        <f>Assumptions!$E$163*J$8*J$18</f>
        <v/>
      </c>
      <c r="K80" s="21">
        <f>Assumptions!$E$163*K$8*K$18</f>
        <v/>
      </c>
      <c r="L80" s="53">
        <f>Assumptions!$E$163*L$8*L$18</f>
        <v/>
      </c>
      <c r="M80" s="21">
        <f>SUM(B80:K80)</f>
        <v/>
      </c>
    </row>
    <row r="81">
      <c r="A81" s="37" t="inlineStr">
        <is>
          <t>Retreat facilitators and program costs (share of the all-in price)</t>
        </is>
      </c>
      <c r="B81" s="21">
        <f>B$48*Assumptions!$E$169</f>
        <v/>
      </c>
      <c r="C81" s="21">
        <f>C$48*Assumptions!$E$169</f>
        <v/>
      </c>
      <c r="D81" s="21">
        <f>D$48*Assumptions!$E$169</f>
        <v/>
      </c>
      <c r="E81" s="21">
        <f>E$48*Assumptions!$E$169</f>
        <v/>
      </c>
      <c r="F81" s="21">
        <f>F$48*Assumptions!$E$169</f>
        <v/>
      </c>
      <c r="G81" s="21">
        <f>G$48*Assumptions!$E$169</f>
        <v/>
      </c>
      <c r="H81" s="21">
        <f>H$48*Assumptions!$E$169</f>
        <v/>
      </c>
      <c r="I81" s="21">
        <f>I$48*Assumptions!$E$169</f>
        <v/>
      </c>
      <c r="J81" s="21">
        <f>J$48*Assumptions!$E$169</f>
        <v/>
      </c>
      <c r="K81" s="21">
        <f>K$48*Assumptions!$E$169</f>
        <v/>
      </c>
      <c r="L81" s="53">
        <f>L$48*Assumptions!$E$169</f>
        <v/>
      </c>
      <c r="M81" s="21">
        <f>SUM(B81:K81)</f>
        <v/>
      </c>
    </row>
    <row r="82">
      <c r="A82" s="37" t="inlineStr">
        <is>
          <t>Retreat food (inside the all-in price)</t>
        </is>
      </c>
      <c r="B82" s="21">
        <f>B$26*Assumptions!$E$102*Assumptions!$E$173*B$18</f>
        <v/>
      </c>
      <c r="C82" s="21">
        <f>C$26*Assumptions!$E$102*Assumptions!$E$173*C$18</f>
        <v/>
      </c>
      <c r="D82" s="21">
        <f>D$26*Assumptions!$E$102*Assumptions!$E$173*D$18</f>
        <v/>
      </c>
      <c r="E82" s="21">
        <f>E$26*Assumptions!$E$102*Assumptions!$E$173*E$18</f>
        <v/>
      </c>
      <c r="F82" s="21">
        <f>F$26*Assumptions!$E$102*Assumptions!$E$173*F$18</f>
        <v/>
      </c>
      <c r="G82" s="21">
        <f>G$26*Assumptions!$E$102*Assumptions!$E$173*G$18</f>
        <v/>
      </c>
      <c r="H82" s="21">
        <f>H$26*Assumptions!$E$102*Assumptions!$E$173*H$18</f>
        <v/>
      </c>
      <c r="I82" s="21">
        <f>I$26*Assumptions!$E$102*Assumptions!$E$173*I$18</f>
        <v/>
      </c>
      <c r="J82" s="21">
        <f>J$26*Assumptions!$E$102*Assumptions!$E$173*J$18</f>
        <v/>
      </c>
      <c r="K82" s="21">
        <f>K$26*Assumptions!$E$102*Assumptions!$E$173*K$18</f>
        <v/>
      </c>
      <c r="L82" s="53">
        <f>L$26*Assumptions!$E$102*Assumptions!$E$173*L$18</f>
        <v/>
      </c>
      <c r="M82" s="21">
        <f>SUM(B82:K82)</f>
        <v/>
      </c>
      <c r="N82" s="54" t="inlineStr">
        <is>
          <t>Retreat guest-nights x F&amp;B per guest x cost of sales</t>
        </is>
      </c>
    </row>
    <row r="83">
      <c r="A83" s="37" t="inlineStr">
        <is>
          <t>Program weekend facilitators and direct costs</t>
        </is>
      </c>
      <c r="B83" s="21">
        <f>B$49*Assumptions!$E$170</f>
        <v/>
      </c>
      <c r="C83" s="21">
        <f>C$49*Assumptions!$E$170</f>
        <v/>
      </c>
      <c r="D83" s="21">
        <f>D$49*Assumptions!$E$170</f>
        <v/>
      </c>
      <c r="E83" s="21">
        <f>E$49*Assumptions!$E$170</f>
        <v/>
      </c>
      <c r="F83" s="21">
        <f>F$49*Assumptions!$E$170</f>
        <v/>
      </c>
      <c r="G83" s="21">
        <f>G$49*Assumptions!$E$170</f>
        <v/>
      </c>
      <c r="H83" s="21">
        <f>H$49*Assumptions!$E$170</f>
        <v/>
      </c>
      <c r="I83" s="21">
        <f>I$49*Assumptions!$E$170</f>
        <v/>
      </c>
      <c r="J83" s="21">
        <f>J$49*Assumptions!$E$170</f>
        <v/>
      </c>
      <c r="K83" s="21">
        <f>K$49*Assumptions!$E$170</f>
        <v/>
      </c>
      <c r="L83" s="53">
        <f>L$49*Assumptions!$E$170</f>
        <v/>
      </c>
      <c r="M83" s="21">
        <f>SUM(B83:K83)</f>
        <v/>
      </c>
    </row>
    <row r="84">
      <c r="A84" s="37" t="inlineStr">
        <is>
          <t>Takeover event costs (crew, security, shuttles)</t>
        </is>
      </c>
      <c r="B84" s="21">
        <f>B$50*Assumptions!$E$171</f>
        <v/>
      </c>
      <c r="C84" s="21">
        <f>C$50*Assumptions!$E$171</f>
        <v/>
      </c>
      <c r="D84" s="21">
        <f>D$50*Assumptions!$E$171</f>
        <v/>
      </c>
      <c r="E84" s="21">
        <f>E$50*Assumptions!$E$171</f>
        <v/>
      </c>
      <c r="F84" s="21">
        <f>F$50*Assumptions!$E$171</f>
        <v/>
      </c>
      <c r="G84" s="21">
        <f>G$50*Assumptions!$E$171</f>
        <v/>
      </c>
      <c r="H84" s="21">
        <f>H$50*Assumptions!$E$171</f>
        <v/>
      </c>
      <c r="I84" s="21">
        <f>I$50*Assumptions!$E$171</f>
        <v/>
      </c>
      <c r="J84" s="21">
        <f>J$50*Assumptions!$E$171</f>
        <v/>
      </c>
      <c r="K84" s="21">
        <f>K$50*Assumptions!$E$171</f>
        <v/>
      </c>
      <c r="L84" s="53">
        <f>L$50*Assumptions!$E$171</f>
        <v/>
      </c>
      <c r="M84" s="21">
        <f>SUM(B84:K84)</f>
        <v/>
      </c>
    </row>
    <row r="85">
      <c r="A85" s="37" t="inlineStr">
        <is>
          <t>Workshop teachers and materials</t>
        </is>
      </c>
      <c r="B85" s="21">
        <f>B$54*Assumptions!$E$172</f>
        <v/>
      </c>
      <c r="C85" s="21">
        <f>C$54*Assumptions!$E$172</f>
        <v/>
      </c>
      <c r="D85" s="21">
        <f>D$54*Assumptions!$E$172</f>
        <v/>
      </c>
      <c r="E85" s="21">
        <f>E$54*Assumptions!$E$172</f>
        <v/>
      </c>
      <c r="F85" s="21">
        <f>F$54*Assumptions!$E$172</f>
        <v/>
      </c>
      <c r="G85" s="21">
        <f>G$54*Assumptions!$E$172</f>
        <v/>
      </c>
      <c r="H85" s="21">
        <f>H$54*Assumptions!$E$172</f>
        <v/>
      </c>
      <c r="I85" s="21">
        <f>I$54*Assumptions!$E$172</f>
        <v/>
      </c>
      <c r="J85" s="21">
        <f>J$54*Assumptions!$E$172</f>
        <v/>
      </c>
      <c r="K85" s="21">
        <f>K$54*Assumptions!$E$172</f>
        <v/>
      </c>
      <c r="L85" s="53">
        <f>L$54*Assumptions!$E$172</f>
        <v/>
      </c>
      <c r="M85" s="21">
        <f>SUM(B85:K85)</f>
        <v/>
      </c>
    </row>
    <row r="86">
      <c r="A86" s="37" t="inlineStr">
        <is>
          <t>Food and beverage cost of sales</t>
        </is>
      </c>
      <c r="B86" s="21">
        <f>B$47*Assumptions!$E$173</f>
        <v/>
      </c>
      <c r="C86" s="21">
        <f>C$47*Assumptions!$E$173</f>
        <v/>
      </c>
      <c r="D86" s="21">
        <f>D$47*Assumptions!$E$173</f>
        <v/>
      </c>
      <c r="E86" s="21">
        <f>E$47*Assumptions!$E$173</f>
        <v/>
      </c>
      <c r="F86" s="21">
        <f>F$47*Assumptions!$E$173</f>
        <v/>
      </c>
      <c r="G86" s="21">
        <f>G$47*Assumptions!$E$173</f>
        <v/>
      </c>
      <c r="H86" s="21">
        <f>H$47*Assumptions!$E$173</f>
        <v/>
      </c>
      <c r="I86" s="21">
        <f>I$47*Assumptions!$E$173</f>
        <v/>
      </c>
      <c r="J86" s="21">
        <f>J$47*Assumptions!$E$173</f>
        <v/>
      </c>
      <c r="K86" s="21">
        <f>K$47*Assumptions!$E$173</f>
        <v/>
      </c>
      <c r="L86" s="53">
        <f>L$47*Assumptions!$E$173</f>
        <v/>
      </c>
      <c r="M86" s="21">
        <f>SUM(B86:K86)</f>
        <v/>
      </c>
    </row>
    <row r="87">
      <c r="A87" s="37" t="inlineStr">
        <is>
          <t>Cabin supplies, linens and laundry</t>
        </is>
      </c>
      <c r="B87" s="21">
        <f>B$39*Assumptions!$E$174*B$18</f>
        <v/>
      </c>
      <c r="C87" s="21">
        <f>C$39*Assumptions!$E$174*C$18</f>
        <v/>
      </c>
      <c r="D87" s="21">
        <f>D$39*Assumptions!$E$174*D$18</f>
        <v/>
      </c>
      <c r="E87" s="21">
        <f>E$39*Assumptions!$E$174*E$18</f>
        <v/>
      </c>
      <c r="F87" s="21">
        <f>F$39*Assumptions!$E$174*F$18</f>
        <v/>
      </c>
      <c r="G87" s="21">
        <f>G$39*Assumptions!$E$174*G$18</f>
        <v/>
      </c>
      <c r="H87" s="21">
        <f>H$39*Assumptions!$E$174*H$18</f>
        <v/>
      </c>
      <c r="I87" s="21">
        <f>I$39*Assumptions!$E$174*I$18</f>
        <v/>
      </c>
      <c r="J87" s="21">
        <f>J$39*Assumptions!$E$174*J$18</f>
        <v/>
      </c>
      <c r="K87" s="21">
        <f>K$39*Assumptions!$E$174*K$18</f>
        <v/>
      </c>
      <c r="L87" s="53">
        <f>L$39*Assumptions!$E$174*L$18</f>
        <v/>
      </c>
      <c r="M87" s="21">
        <f>SUM(B87:K87)</f>
        <v/>
      </c>
    </row>
    <row r="88">
      <c r="A88" s="37" t="inlineStr">
        <is>
          <t>Gallery program and conservation</t>
        </is>
      </c>
      <c r="B88" s="21">
        <f>Assumptions!$E$164*B$10*B$18</f>
        <v/>
      </c>
      <c r="C88" s="21">
        <f>Assumptions!$E$164*C$10*C$18</f>
        <v/>
      </c>
      <c r="D88" s="21">
        <f>Assumptions!$E$164*D$10*D$18</f>
        <v/>
      </c>
      <c r="E88" s="21">
        <f>Assumptions!$E$164*E$10*E$18</f>
        <v/>
      </c>
      <c r="F88" s="21">
        <f>Assumptions!$E$164*F$10*F$18</f>
        <v/>
      </c>
      <c r="G88" s="21">
        <f>Assumptions!$E$164*G$10*G$18</f>
        <v/>
      </c>
      <c r="H88" s="21">
        <f>Assumptions!$E$164*H$10*H$18</f>
        <v/>
      </c>
      <c r="I88" s="21">
        <f>Assumptions!$E$164*I$10*I$18</f>
        <v/>
      </c>
      <c r="J88" s="21">
        <f>Assumptions!$E$164*J$10*J$18</f>
        <v/>
      </c>
      <c r="K88" s="21">
        <f>Assumptions!$E$164*K$10*K$18</f>
        <v/>
      </c>
      <c r="L88" s="53">
        <f>Assumptions!$E$164*L$10*L$18</f>
        <v/>
      </c>
      <c r="M88" s="21">
        <f>SUM(B88:K88)</f>
        <v/>
      </c>
    </row>
    <row r="89">
      <c r="A89" s="37" t="inlineStr">
        <is>
          <t>Utilities</t>
        </is>
      </c>
      <c r="B89" s="21">
        <f>(Assumptions!$E$175*B$8+Assumptions!$E$176*B$9+Assumptions!$E$177*B$10)*B$18</f>
        <v/>
      </c>
      <c r="C89" s="21">
        <f>(Assumptions!$E$175*C$8+Assumptions!$E$176*C$9+Assumptions!$E$177*C$10)*C$18</f>
        <v/>
      </c>
      <c r="D89" s="21">
        <f>(Assumptions!$E$175*D$8+Assumptions!$E$176*D$9+Assumptions!$E$177*D$10)*D$18</f>
        <v/>
      </c>
      <c r="E89" s="21">
        <f>(Assumptions!$E$175*E$8+Assumptions!$E$176*E$9+Assumptions!$E$177*E$10)*E$18</f>
        <v/>
      </c>
      <c r="F89" s="21">
        <f>(Assumptions!$E$175*F$8+Assumptions!$E$176*F$9+Assumptions!$E$177*F$10)*F$18</f>
        <v/>
      </c>
      <c r="G89" s="21">
        <f>(Assumptions!$E$175*G$8+Assumptions!$E$176*G$9+Assumptions!$E$177*G$10)*G$18</f>
        <v/>
      </c>
      <c r="H89" s="21">
        <f>(Assumptions!$E$175*H$8+Assumptions!$E$176*H$9+Assumptions!$E$177*H$10)*H$18</f>
        <v/>
      </c>
      <c r="I89" s="21">
        <f>(Assumptions!$E$175*I$8+Assumptions!$E$176*I$9+Assumptions!$E$177*I$10)*I$18</f>
        <v/>
      </c>
      <c r="J89" s="21">
        <f>(Assumptions!$E$175*J$8+Assumptions!$E$176*J$9+Assumptions!$E$177*J$10)*J$18</f>
        <v/>
      </c>
      <c r="K89" s="21">
        <f>(Assumptions!$E$175*K$8+Assumptions!$E$176*K$9+Assumptions!$E$177*K$10)*K$18</f>
        <v/>
      </c>
      <c r="L89" s="53">
        <f>(Assumptions!$E$175*L$8+Assumptions!$E$176*L$9+Assumptions!$E$177*L$10)*L$18</f>
        <v/>
      </c>
      <c r="M89" s="21">
        <f>SUM(B89:K89)</f>
        <v/>
      </c>
    </row>
    <row r="90">
      <c r="A90" s="37" t="inlineStr">
        <is>
          <t>Repairs and maintenance</t>
        </is>
      </c>
      <c r="B90" s="21">
        <f>Assumptions!$E$178*B$43*B$18</f>
        <v/>
      </c>
      <c r="C90" s="21">
        <f>Assumptions!$E$178*C$43*C$18</f>
        <v/>
      </c>
      <c r="D90" s="21">
        <f>Assumptions!$E$178*D$43*D$18</f>
        <v/>
      </c>
      <c r="E90" s="21">
        <f>Assumptions!$E$178*E$43*E$18</f>
        <v/>
      </c>
      <c r="F90" s="21">
        <f>Assumptions!$E$178*F$43*F$18</f>
        <v/>
      </c>
      <c r="G90" s="21">
        <f>Assumptions!$E$178*G$43*G$18</f>
        <v/>
      </c>
      <c r="H90" s="21">
        <f>Assumptions!$E$178*H$43*H$18</f>
        <v/>
      </c>
      <c r="I90" s="21">
        <f>Assumptions!$E$178*I$43*I$18</f>
        <v/>
      </c>
      <c r="J90" s="21">
        <f>Assumptions!$E$178*J$43*J$18</f>
        <v/>
      </c>
      <c r="K90" s="21">
        <f>Assumptions!$E$178*K$43*K$18</f>
        <v/>
      </c>
      <c r="L90" s="53">
        <f>Assumptions!$E$178*L$43*L$18</f>
        <v/>
      </c>
      <c r="M90" s="21">
        <f>SUM(B90:K90)</f>
        <v/>
      </c>
    </row>
    <row r="91">
      <c r="A91" s="37" t="inlineStr">
        <is>
          <t>Property and wildfire insurance (very high fire hazard zone)</t>
        </is>
      </c>
      <c r="B91" s="21">
        <f>Assumptions!$E$179*B$43*B$18</f>
        <v/>
      </c>
      <c r="C91" s="21">
        <f>Assumptions!$E$179*C$43*C$18</f>
        <v/>
      </c>
      <c r="D91" s="21">
        <f>Assumptions!$E$179*D$43*D$18</f>
        <v/>
      </c>
      <c r="E91" s="21">
        <f>Assumptions!$E$179*E$43*E$18</f>
        <v/>
      </c>
      <c r="F91" s="21">
        <f>Assumptions!$E$179*F$43*F$18</f>
        <v/>
      </c>
      <c r="G91" s="21">
        <f>Assumptions!$E$179*G$43*G$18</f>
        <v/>
      </c>
      <c r="H91" s="21">
        <f>Assumptions!$E$179*H$43*H$18</f>
        <v/>
      </c>
      <c r="I91" s="21">
        <f>Assumptions!$E$179*I$43*I$18</f>
        <v/>
      </c>
      <c r="J91" s="21">
        <f>Assumptions!$E$179*J$43*J$18</f>
        <v/>
      </c>
      <c r="K91" s="21">
        <f>Assumptions!$E$179*K$43*K$18</f>
        <v/>
      </c>
      <c r="L91" s="53">
        <f>Assumptions!$E$179*L$43*L$18</f>
        <v/>
      </c>
      <c r="M91" s="21">
        <f>SUM(B91:K91)</f>
        <v/>
      </c>
      <c r="N91" s="54" t="inlineStr">
        <is>
          <t>Very high fire hazard zone; broker quote needed</t>
        </is>
      </c>
    </row>
    <row r="92">
      <c r="A92" s="37" t="inlineStr">
        <is>
          <t>Liability, liquor, events, D&amp;O (and land before opening)</t>
        </is>
      </c>
      <c r="B92" s="21">
        <f>(Assumptions!$E$180*B$8+Assumptions!$E$181*B$11*B$13)*B$18</f>
        <v/>
      </c>
      <c r="C92" s="21">
        <f>(Assumptions!$E$180*C$8+Assumptions!$E$181*C$11*C$13)*C$18</f>
        <v/>
      </c>
      <c r="D92" s="21">
        <f>(Assumptions!$E$180*D$8+Assumptions!$E$181*D$11*D$13)*D$18</f>
        <v/>
      </c>
      <c r="E92" s="21">
        <f>(Assumptions!$E$180*E$8+Assumptions!$E$181*E$11*E$13)*E$18</f>
        <v/>
      </c>
      <c r="F92" s="21">
        <f>(Assumptions!$E$180*F$8+Assumptions!$E$181*F$11*F$13)*F$18</f>
        <v/>
      </c>
      <c r="G92" s="21">
        <f>(Assumptions!$E$180*G$8+Assumptions!$E$181*G$11*G$13)*G$18</f>
        <v/>
      </c>
      <c r="H92" s="21">
        <f>(Assumptions!$E$180*H$8+Assumptions!$E$181*H$11*H$13)*H$18</f>
        <v/>
      </c>
      <c r="I92" s="21">
        <f>(Assumptions!$E$180*I$8+Assumptions!$E$181*I$11*I$13)*I$18</f>
        <v/>
      </c>
      <c r="J92" s="21">
        <f>(Assumptions!$E$180*J$8+Assumptions!$E$181*J$11*J$13)*J$18</f>
        <v/>
      </c>
      <c r="K92" s="21">
        <f>(Assumptions!$E$180*K$8+Assumptions!$E$181*K$11*K$13)*K$18</f>
        <v/>
      </c>
      <c r="L92" s="53">
        <f>(Assumptions!$E$180*L$8+Assumptions!$E$181*L$11*L$13)*L$18</f>
        <v/>
      </c>
      <c r="M92" s="21">
        <f>SUM(B92:K92)</f>
        <v/>
      </c>
    </row>
    <row r="93">
      <c r="A93" s="37" t="inlineStr">
        <is>
          <t>Property tax (incl. fixed charges)</t>
        </is>
      </c>
      <c r="B93" s="21">
        <f>Assumptions!$E$182*B$44*(1-Assumptions!$E$184)+Assumptions!$E$183*B$13</f>
        <v/>
      </c>
      <c r="C93" s="21">
        <f>Assumptions!$E$182*C$44*(1-Assumptions!$E$184)+Assumptions!$E$183*C$13</f>
        <v/>
      </c>
      <c r="D93" s="21">
        <f>Assumptions!$E$182*D$44*(1-Assumptions!$E$184)+Assumptions!$E$183*D$13</f>
        <v/>
      </c>
      <c r="E93" s="21">
        <f>Assumptions!$E$182*E$44*(1-Assumptions!$E$184)+Assumptions!$E$183*E$13</f>
        <v/>
      </c>
      <c r="F93" s="21">
        <f>Assumptions!$E$182*F$44*(1-Assumptions!$E$184)+Assumptions!$E$183*F$13</f>
        <v/>
      </c>
      <c r="G93" s="21">
        <f>Assumptions!$E$182*G$44*(1-Assumptions!$E$184)+Assumptions!$E$183*G$13</f>
        <v/>
      </c>
      <c r="H93" s="21">
        <f>Assumptions!$E$182*H$44*(1-Assumptions!$E$184)+Assumptions!$E$183*H$13</f>
        <v/>
      </c>
      <c r="I93" s="21">
        <f>Assumptions!$E$182*I$44*(1-Assumptions!$E$184)+Assumptions!$E$183*I$13</f>
        <v/>
      </c>
      <c r="J93" s="21">
        <f>Assumptions!$E$182*J$44*(1-Assumptions!$E$184)+Assumptions!$E$183*J$13</f>
        <v/>
      </c>
      <c r="K93" s="21">
        <f>Assumptions!$E$182*K$44*(1-Assumptions!$E$184)+Assumptions!$E$183*K$13</f>
        <v/>
      </c>
      <c r="L93" s="53">
        <f>Assumptions!$E$182*L$44*(1-Assumptions!$E$184)+Assumptions!$E$183*L$13</f>
        <v/>
      </c>
      <c r="M93" s="21">
        <f>SUM(B93:K93)</f>
        <v/>
      </c>
      <c r="N93" s="54" t="inlineStr">
        <is>
          <t>Taxable under the draft hybrid; welfare exemption is a lever</t>
        </is>
      </c>
    </row>
    <row r="94">
      <c r="A94" s="37" t="inlineStr">
        <is>
          <t>Marketing and sales</t>
        </is>
      </c>
      <c r="B94" s="21">
        <f>Assumptions!$E$185*B$8*B$18</f>
        <v/>
      </c>
      <c r="C94" s="21">
        <f>Assumptions!$E$185*C$8*C$18</f>
        <v/>
      </c>
      <c r="D94" s="21">
        <f>Assumptions!$E$185*D$8*D$18</f>
        <v/>
      </c>
      <c r="E94" s="21">
        <f>Assumptions!$E$185*E$8*E$18</f>
        <v/>
      </c>
      <c r="F94" s="21">
        <f>Assumptions!$E$185*F$8*F$18</f>
        <v/>
      </c>
      <c r="G94" s="21">
        <f>Assumptions!$E$185*G$8*G$18</f>
        <v/>
      </c>
      <c r="H94" s="21">
        <f>Assumptions!$E$185*H$8*H$18</f>
        <v/>
      </c>
      <c r="I94" s="21">
        <f>Assumptions!$E$185*I$8*I$18</f>
        <v/>
      </c>
      <c r="J94" s="21">
        <f>Assumptions!$E$185*J$8*J$18</f>
        <v/>
      </c>
      <c r="K94" s="21">
        <f>Assumptions!$E$185*K$8*K$18</f>
        <v/>
      </c>
      <c r="L94" s="53">
        <f>Assumptions!$E$185*L$8*L$18</f>
        <v/>
      </c>
      <c r="M94" s="21">
        <f>SUM(B94:K94)</f>
        <v/>
      </c>
    </row>
    <row r="95">
      <c r="A95" s="37" t="inlineStr">
        <is>
          <t>General and administrative (legal, audit, IT, office)</t>
        </is>
      </c>
      <c r="B95" s="21">
        <f>Assumptions!$E$186*B$8*B$18</f>
        <v/>
      </c>
      <c r="C95" s="21">
        <f>Assumptions!$E$186*C$8*C$18</f>
        <v/>
      </c>
      <c r="D95" s="21">
        <f>Assumptions!$E$186*D$8*D$18</f>
        <v/>
      </c>
      <c r="E95" s="21">
        <f>Assumptions!$E$186*E$8*E$18</f>
        <v/>
      </c>
      <c r="F95" s="21">
        <f>Assumptions!$E$186*F$8*F$18</f>
        <v/>
      </c>
      <c r="G95" s="21">
        <f>Assumptions!$E$186*G$8*G$18</f>
        <v/>
      </c>
      <c r="H95" s="21">
        <f>Assumptions!$E$186*H$8*H$18</f>
        <v/>
      </c>
      <c r="I95" s="21">
        <f>Assumptions!$E$186*I$8*I$18</f>
        <v/>
      </c>
      <c r="J95" s="21">
        <f>Assumptions!$E$186*J$8*J$18</f>
        <v/>
      </c>
      <c r="K95" s="21">
        <f>Assumptions!$E$186*K$8*K$18</f>
        <v/>
      </c>
      <c r="L95" s="53">
        <f>Assumptions!$E$186*L$8*L$18</f>
        <v/>
      </c>
      <c r="M95" s="21">
        <f>SUM(B95:K95)</f>
        <v/>
      </c>
    </row>
    <row r="96">
      <c r="A96" s="37" t="inlineStr">
        <is>
          <t>Payment and booking fees</t>
        </is>
      </c>
      <c r="B96" s="21">
        <f>B$58*Assumptions!$E$187</f>
        <v/>
      </c>
      <c r="C96" s="21">
        <f>C$58*Assumptions!$E$187</f>
        <v/>
      </c>
      <c r="D96" s="21">
        <f>D$58*Assumptions!$E$187</f>
        <v/>
      </c>
      <c r="E96" s="21">
        <f>E$58*Assumptions!$E$187</f>
        <v/>
      </c>
      <c r="F96" s="21">
        <f>F$58*Assumptions!$E$187</f>
        <v/>
      </c>
      <c r="G96" s="21">
        <f>G$58*Assumptions!$E$187</f>
        <v/>
      </c>
      <c r="H96" s="21">
        <f>H$58*Assumptions!$E$187</f>
        <v/>
      </c>
      <c r="I96" s="21">
        <f>I$58*Assumptions!$E$187</f>
        <v/>
      </c>
      <c r="J96" s="21">
        <f>J$58*Assumptions!$E$187</f>
        <v/>
      </c>
      <c r="K96" s="21">
        <f>K$58*Assumptions!$E$187</f>
        <v/>
      </c>
      <c r="L96" s="53">
        <f>L$58*Assumptions!$E$187</f>
        <v/>
      </c>
      <c r="M96" s="21">
        <f>SUM(B96:K96)</f>
        <v/>
      </c>
    </row>
    <row r="97">
      <c r="A97" s="37" t="inlineStr">
        <is>
          <t>Replacement reserve (cabins, gear)</t>
        </is>
      </c>
      <c r="B97" s="21">
        <f>B$58*Assumptions!$E$188</f>
        <v/>
      </c>
      <c r="C97" s="21">
        <f>C$58*Assumptions!$E$188</f>
        <v/>
      </c>
      <c r="D97" s="21">
        <f>D$58*Assumptions!$E$188</f>
        <v/>
      </c>
      <c r="E97" s="21">
        <f>E$58*Assumptions!$E$188</f>
        <v/>
      </c>
      <c r="F97" s="21">
        <f>F$58*Assumptions!$E$188</f>
        <v/>
      </c>
      <c r="G97" s="21">
        <f>G$58*Assumptions!$E$188</f>
        <v/>
      </c>
      <c r="H97" s="21">
        <f>H$58*Assumptions!$E$188</f>
        <v/>
      </c>
      <c r="I97" s="21">
        <f>I$58*Assumptions!$E$188</f>
        <v/>
      </c>
      <c r="J97" s="21">
        <f>J$58*Assumptions!$E$188</f>
        <v/>
      </c>
      <c r="K97" s="21">
        <f>K$58*Assumptions!$E$188</f>
        <v/>
      </c>
      <c r="L97" s="53">
        <f>L$58*Assumptions!$E$188</f>
        <v/>
      </c>
      <c r="M97" s="21">
        <f>SUM(B97:K97)</f>
        <v/>
      </c>
    </row>
    <row r="98">
      <c r="A98" s="37" t="inlineStr">
        <is>
          <t>Stage 0 pilot program (pilot residencies, pop-ups)</t>
        </is>
      </c>
      <c r="B98" s="21">
        <f>Assumptions!$E$165*B$11*B$18</f>
        <v/>
      </c>
      <c r="C98" s="21">
        <f>Assumptions!$E$165*C$11*C$18</f>
        <v/>
      </c>
      <c r="D98" s="21">
        <f>Assumptions!$E$165*D$11*D$18</f>
        <v/>
      </c>
      <c r="E98" s="21">
        <f>Assumptions!$E$165*E$11*E$18</f>
        <v/>
      </c>
      <c r="F98" s="21">
        <f>Assumptions!$E$165*F$11*F$18</f>
        <v/>
      </c>
      <c r="G98" s="21">
        <f>Assumptions!$E$165*G$11*G$18</f>
        <v/>
      </c>
      <c r="H98" s="21">
        <f>Assumptions!$E$165*H$11*H$18</f>
        <v/>
      </c>
      <c r="I98" s="21">
        <f>Assumptions!$E$165*I$11*I$18</f>
        <v/>
      </c>
      <c r="J98" s="21">
        <f>Assumptions!$E$165*J$11*J$18</f>
        <v/>
      </c>
      <c r="K98" s="21">
        <f>Assumptions!$E$165*K$11*K$18</f>
        <v/>
      </c>
      <c r="L98" s="53">
        <f>Assumptions!$E$165*L$11*L$18</f>
        <v/>
      </c>
      <c r="M98" s="21">
        <f>SUM(B98:K98)</f>
        <v/>
      </c>
    </row>
    <row r="99">
      <c r="A99" s="61" t="inlineStr">
        <is>
          <t>TOTAL OPERATING EXPENSES</t>
        </is>
      </c>
      <c r="B99" s="62">
        <f>B$76+SUM(B77:B98)</f>
        <v/>
      </c>
      <c r="C99" s="62">
        <f>C$76+SUM(C77:C98)</f>
        <v/>
      </c>
      <c r="D99" s="62">
        <f>D$76+SUM(D77:D98)</f>
        <v/>
      </c>
      <c r="E99" s="62">
        <f>E$76+SUM(E77:E98)</f>
        <v/>
      </c>
      <c r="F99" s="62">
        <f>F$76+SUM(F77:F98)</f>
        <v/>
      </c>
      <c r="G99" s="62">
        <f>G$76+SUM(G77:G98)</f>
        <v/>
      </c>
      <c r="H99" s="62">
        <f>H$76+SUM(H77:H98)</f>
        <v/>
      </c>
      <c r="I99" s="62">
        <f>I$76+SUM(I77:I98)</f>
        <v/>
      </c>
      <c r="J99" s="62">
        <f>J$76+SUM(J77:J98)</f>
        <v/>
      </c>
      <c r="K99" s="62">
        <f>K$76+SUM(K77:K98)</f>
        <v/>
      </c>
      <c r="L99" s="63">
        <f>L$76+SUM(L77:L98)</f>
        <v/>
      </c>
      <c r="M99" s="62">
        <f>SUM(B99:K99)</f>
        <v/>
      </c>
    </row>
    <row r="100">
      <c r="A100" s="7" t="inlineStr">
        <is>
          <t>RESULTS</t>
        </is>
      </c>
      <c r="B100" s="8" t="n"/>
      <c r="C100" s="8" t="n"/>
      <c r="D100" s="8" t="n"/>
      <c r="E100" s="8" t="n"/>
      <c r="F100" s="8" t="n"/>
      <c r="G100" s="8" t="n"/>
      <c r="H100" s="8" t="n"/>
      <c r="I100" s="8" t="n"/>
      <c r="J100" s="8" t="n"/>
      <c r="K100" s="8" t="n"/>
      <c r="L100" s="8" t="n"/>
      <c r="M100" s="8" t="n"/>
      <c r="N100" s="8" t="n"/>
    </row>
    <row r="101">
      <c r="A101" s="61" t="inlineStr">
        <is>
          <t>NET OPERATING RESULT, earned revenue only (EBITDA)</t>
        </is>
      </c>
      <c r="B101" s="62">
        <f>B$58-B$99</f>
        <v/>
      </c>
      <c r="C101" s="62">
        <f>C$58-C$99</f>
        <v/>
      </c>
      <c r="D101" s="62">
        <f>D$58-D$99</f>
        <v/>
      </c>
      <c r="E101" s="62">
        <f>E$58-E$99</f>
        <v/>
      </c>
      <c r="F101" s="62">
        <f>F$58-F$99</f>
        <v/>
      </c>
      <c r="G101" s="62">
        <f>G$58-G$99</f>
        <v/>
      </c>
      <c r="H101" s="62">
        <f>H$58-H$99</f>
        <v/>
      </c>
      <c r="I101" s="62">
        <f>I$58-I$99</f>
        <v/>
      </c>
      <c r="J101" s="62">
        <f>J$58-J$99</f>
        <v/>
      </c>
      <c r="K101" s="62">
        <f>K$58-K$99</f>
        <v/>
      </c>
      <c r="L101" s="63">
        <f>L$58-L$99</f>
        <v/>
      </c>
      <c r="M101" s="62">
        <f>SUM(B101:K101)</f>
        <v/>
      </c>
    </row>
    <row r="102">
      <c r="A102" s="61" t="inlineStr">
        <is>
          <t>NET RESULT AFTER CONTRIBUTED INCOME</t>
        </is>
      </c>
      <c r="B102" s="62">
        <f>B$101+B$64</f>
        <v/>
      </c>
      <c r="C102" s="62">
        <f>C$101+C$64</f>
        <v/>
      </c>
      <c r="D102" s="62">
        <f>D$101+D$64</f>
        <v/>
      </c>
      <c r="E102" s="62">
        <f>E$101+E$64</f>
        <v/>
      </c>
      <c r="F102" s="62">
        <f>F$101+F$64</f>
        <v/>
      </c>
      <c r="G102" s="62">
        <f>G$101+G$64</f>
        <v/>
      </c>
      <c r="H102" s="62">
        <f>H$101+H$64</f>
        <v/>
      </c>
      <c r="I102" s="62">
        <f>I$101+I$64</f>
        <v/>
      </c>
      <c r="J102" s="62">
        <f>J$101+J$64</f>
        <v/>
      </c>
      <c r="K102" s="62">
        <f>K$101+K$64</f>
        <v/>
      </c>
      <c r="L102" s="63">
        <f>L$101+L$64</f>
        <v/>
      </c>
      <c r="M102" s="62">
        <f>SUM(B102:K102)</f>
        <v/>
      </c>
    </row>
    <row r="103">
      <c r="A103" s="37" t="inlineStr">
        <is>
          <t>Capital and pre-opening uses (Capex sheet)</t>
        </is>
      </c>
      <c r="B103" s="21">
        <f>Capex!D91</f>
        <v/>
      </c>
      <c r="C103" s="21">
        <f>Capex!E91</f>
        <v/>
      </c>
      <c r="D103" s="21">
        <f>Capex!F91</f>
        <v/>
      </c>
      <c r="E103" s="21">
        <f>Capex!G91</f>
        <v/>
      </c>
      <c r="F103" s="21">
        <f>Capex!H91</f>
        <v/>
      </c>
      <c r="G103" s="21">
        <f>Capex!I91</f>
        <v/>
      </c>
      <c r="H103" s="21">
        <f>Capex!J91</f>
        <v/>
      </c>
      <c r="I103" s="21">
        <f>Capex!K91</f>
        <v/>
      </c>
      <c r="J103" s="21">
        <f>Capex!L91</f>
        <v/>
      </c>
      <c r="K103" s="21">
        <f>Capex!M91</f>
        <v/>
      </c>
      <c r="M103" s="21">
        <f>SUM(B103:K103)</f>
        <v/>
      </c>
      <c r="N103" s="54" t="inlineStr">
        <is>
          <t>From the Capex sheet; land, build, pre-opening, overhead</t>
        </is>
      </c>
    </row>
    <row r="104">
      <c r="A104" s="37" t="inlineStr">
        <is>
          <t>Net cash flow before financing</t>
        </is>
      </c>
      <c r="B104" s="21">
        <f>B$102-B$103</f>
        <v/>
      </c>
      <c r="C104" s="21">
        <f>C$102-C$103</f>
        <v/>
      </c>
      <c r="D104" s="21">
        <f>D$102-D$103</f>
        <v/>
      </c>
      <c r="E104" s="21">
        <f>E$102-E$103</f>
        <v/>
      </c>
      <c r="F104" s="21">
        <f>F$102-F$103</f>
        <v/>
      </c>
      <c r="G104" s="21">
        <f>G$102-G$103</f>
        <v/>
      </c>
      <c r="H104" s="21">
        <f>H$102-H$103</f>
        <v/>
      </c>
      <c r="I104" s="21">
        <f>I$102-I$103</f>
        <v/>
      </c>
      <c r="J104" s="21">
        <f>J$102-J$103</f>
        <v/>
      </c>
      <c r="K104" s="21">
        <f>K$102-K$103</f>
        <v/>
      </c>
      <c r="M104" s="21">
        <f>SUM(B104:K104)</f>
        <v/>
      </c>
    </row>
    <row r="105">
      <c r="A105" s="61" t="inlineStr">
        <is>
          <t>CUMULATIVE CASH BEFORE FINANCING</t>
        </is>
      </c>
      <c r="B105" s="62">
        <f>B$104</f>
        <v/>
      </c>
      <c r="C105" s="62">
        <f>B105+C$104</f>
        <v/>
      </c>
      <c r="D105" s="62">
        <f>C105+D$104</f>
        <v/>
      </c>
      <c r="E105" s="62">
        <f>D105+E$104</f>
        <v/>
      </c>
      <c r="F105" s="62">
        <f>E105+F$104</f>
        <v/>
      </c>
      <c r="G105" s="62">
        <f>F105+G$104</f>
        <v/>
      </c>
      <c r="H105" s="62">
        <f>G105+H$104</f>
        <v/>
      </c>
      <c r="I105" s="62">
        <f>H105+I$104</f>
        <v/>
      </c>
      <c r="J105" s="62">
        <f>I105+J$104</f>
        <v/>
      </c>
      <c r="K105" s="62">
        <f>J105+K$104</f>
        <v/>
      </c>
      <c r="L105" s="68" t="n"/>
      <c r="M105" s="69" t="n"/>
      <c r="N105" s="54" t="inlineStr">
        <is>
          <t>Before debt, equity and gifts for capital</t>
        </is>
      </c>
    </row>
    <row r="106">
      <c r="A106" s="7" t="inlineStr">
        <is>
          <t>MEMO AND CHECKS</t>
        </is>
      </c>
      <c r="B106" s="8" t="n"/>
      <c r="C106" s="8" t="n"/>
      <c r="D106" s="8" t="n"/>
      <c r="E106" s="8" t="n"/>
      <c r="F106" s="8" t="n"/>
      <c r="G106" s="8" t="n"/>
      <c r="H106" s="8" t="n"/>
      <c r="I106" s="8" t="n"/>
      <c r="J106" s="8" t="n"/>
      <c r="K106" s="8" t="n"/>
      <c r="L106" s="8" t="n"/>
      <c r="M106" s="8" t="n"/>
      <c r="N106" s="8" t="n"/>
    </row>
    <row r="107">
      <c r="A107" s="37" t="inlineStr">
        <is>
          <t>TOT collected and remitted on billed cabin nights (memo, not revenue)</t>
        </is>
      </c>
      <c r="B107" s="21">
        <f>B$46*Assumptions!$E$103</f>
        <v/>
      </c>
      <c r="C107" s="21">
        <f>C$46*Assumptions!$E$103</f>
        <v/>
      </c>
      <c r="D107" s="21">
        <f>D$46*Assumptions!$E$103</f>
        <v/>
      </c>
      <c r="E107" s="21">
        <f>E$46*Assumptions!$E$103</f>
        <v/>
      </c>
      <c r="F107" s="21">
        <f>F$46*Assumptions!$E$103</f>
        <v/>
      </c>
      <c r="G107" s="21">
        <f>G$46*Assumptions!$E$103</f>
        <v/>
      </c>
      <c r="H107" s="21">
        <f>H$46*Assumptions!$E$103</f>
        <v/>
      </c>
      <c r="I107" s="21">
        <f>I$46*Assumptions!$E$103</f>
        <v/>
      </c>
      <c r="J107" s="21">
        <f>J$46*Assumptions!$E$103</f>
        <v/>
      </c>
      <c r="K107" s="21">
        <f>K$46*Assumptions!$E$103</f>
        <v/>
      </c>
      <c r="L107" s="53">
        <f>L$46*Assumptions!$E$103</f>
        <v/>
      </c>
      <c r="M107" s="21">
        <f>SUM(B107:K107)</f>
        <v/>
      </c>
    </row>
    <row r="108">
      <c r="A108" s="37" t="inlineStr">
        <is>
          <t>Billed cabin revenue per available cabin night (retreat lodging sits inside the all-in price)</t>
        </is>
      </c>
      <c r="B108" s="21">
        <f>IF(B$21&gt;0,B$46/B$21,0)</f>
        <v/>
      </c>
      <c r="C108" s="21">
        <f>IF(C$21&gt;0,C$46/C$21,0)</f>
        <v/>
      </c>
      <c r="D108" s="21">
        <f>IF(D$21&gt;0,D$46/D$21,0)</f>
        <v/>
      </c>
      <c r="E108" s="21">
        <f>IF(E$21&gt;0,E$46/E$21,0)</f>
        <v/>
      </c>
      <c r="F108" s="21">
        <f>IF(F$21&gt;0,F$46/F$21,0)</f>
        <v/>
      </c>
      <c r="G108" s="21">
        <f>IF(G$21&gt;0,G$46/G$21,0)</f>
        <v/>
      </c>
      <c r="H108" s="21">
        <f>IF(H$21&gt;0,H$46/H$21,0)</f>
        <v/>
      </c>
      <c r="I108" s="21">
        <f>IF(I$21&gt;0,I$46/I$21,0)</f>
        <v/>
      </c>
      <c r="J108" s="21">
        <f>IF(J$21&gt;0,J$46/J$21,0)</f>
        <v/>
      </c>
      <c r="K108" s="21">
        <f>IF(K$21&gt;0,K$46/K$21,0)</f>
        <v/>
      </c>
      <c r="L108" s="53">
        <f>IF(L$21&gt;0,L$46/L$21,0)</f>
        <v/>
      </c>
    </row>
    <row r="109">
      <c r="A109" s="37" t="inlineStr">
        <is>
          <t>Break-even test, earned only (year or 9999)</t>
        </is>
      </c>
      <c r="B109" s="21">
        <f>IF(AND(B$7&gt;=1,B$101&gt;=0),B$6,9999)</f>
        <v/>
      </c>
      <c r="C109" s="21">
        <f>IF(AND(C$7&gt;=1,C$101&gt;=0),C$6,9999)</f>
        <v/>
      </c>
      <c r="D109" s="21">
        <f>IF(AND(D$7&gt;=1,D$101&gt;=0),D$6,9999)</f>
        <v/>
      </c>
      <c r="E109" s="21">
        <f>IF(AND(E$7&gt;=1,E$101&gt;=0),E$6,9999)</f>
        <v/>
      </c>
      <c r="F109" s="21">
        <f>IF(AND(F$7&gt;=1,F$101&gt;=0),F$6,9999)</f>
        <v/>
      </c>
      <c r="G109" s="21">
        <f>IF(AND(G$7&gt;=1,G$101&gt;=0),G$6,9999)</f>
        <v/>
      </c>
      <c r="H109" s="21">
        <f>IF(AND(H$7&gt;=1,H$101&gt;=0),H$6,9999)</f>
        <v/>
      </c>
      <c r="I109" s="21">
        <f>IF(AND(I$7&gt;=1,I$101&gt;=0),I$6,9999)</f>
        <v/>
      </c>
      <c r="J109" s="21">
        <f>IF(AND(J$7&gt;=1,J$101&gt;=0),J$6,9999)</f>
        <v/>
      </c>
      <c r="K109" s="21">
        <f>IF(AND(K$7&gt;=1,K$101&gt;=0),K$6,9999)</f>
        <v/>
      </c>
    </row>
    <row r="110">
      <c r="A110" s="37" t="inlineStr">
        <is>
          <t>Break-even test, after contributed (year or 9999)</t>
        </is>
      </c>
      <c r="B110" s="21">
        <f>IF(AND(B$7&gt;=1,B$102&gt;=0),B$6,9999)</f>
        <v/>
      </c>
      <c r="C110" s="21">
        <f>IF(AND(C$7&gt;=1,C$102&gt;=0),C$6,9999)</f>
        <v/>
      </c>
      <c r="D110" s="21">
        <f>IF(AND(D$7&gt;=1,D$102&gt;=0),D$6,9999)</f>
        <v/>
      </c>
      <c r="E110" s="21">
        <f>IF(AND(E$7&gt;=1,E$102&gt;=0),E$6,9999)</f>
        <v/>
      </c>
      <c r="F110" s="21">
        <f>IF(AND(F$7&gt;=1,F$102&gt;=0),F$6,9999)</f>
        <v/>
      </c>
      <c r="G110" s="21">
        <f>IF(AND(G$7&gt;=1,G$102&gt;=0),G$6,9999)</f>
        <v/>
      </c>
      <c r="H110" s="21">
        <f>IF(AND(H$7&gt;=1,H$102&gt;=0),H$6,9999)</f>
        <v/>
      </c>
      <c r="I110" s="21">
        <f>IF(AND(I$7&gt;=1,I$102&gt;=0),I$6,9999)</f>
        <v/>
      </c>
      <c r="J110" s="21">
        <f>IF(AND(J$7&gt;=1,J$102&gt;=0),J$6,9999)</f>
        <v/>
      </c>
      <c r="K110" s="21">
        <f>IF(AND(K$7&gt;=1,K$102&gt;=0),K$6,9999)</f>
        <v/>
      </c>
    </row>
    <row r="111">
      <c r="A111" s="37" t="inlineStr">
        <is>
          <t>Check: large events within the assumed use-permit cap</t>
        </is>
      </c>
      <c r="B111" s="9">
        <f>IF(B$31&lt;=Assumptions!$E$128+0.0001,"OK","Over cap")</f>
        <v/>
      </c>
      <c r="C111" s="9">
        <f>IF(C$31&lt;=Assumptions!$E$128+0.0001,"OK","Over cap")</f>
        <v/>
      </c>
      <c r="D111" s="9">
        <f>IF(D$31&lt;=Assumptions!$E$128+0.0001,"OK","Over cap")</f>
        <v/>
      </c>
      <c r="E111" s="9">
        <f>IF(E$31&lt;=Assumptions!$E$128+0.0001,"OK","Over cap")</f>
        <v/>
      </c>
      <c r="F111" s="9">
        <f>IF(F$31&lt;=Assumptions!$E$128+0.0001,"OK","Over cap")</f>
        <v/>
      </c>
      <c r="G111" s="9">
        <f>IF(G$31&lt;=Assumptions!$E$128+0.0001,"OK","Over cap")</f>
        <v/>
      </c>
      <c r="H111" s="9">
        <f>IF(H$31&lt;=Assumptions!$E$128+0.0001,"OK","Over cap")</f>
        <v/>
      </c>
      <c r="I111" s="9">
        <f>IF(I$31&lt;=Assumptions!$E$128+0.0001,"OK","Over cap")</f>
        <v/>
      </c>
      <c r="J111" s="9">
        <f>IF(J$31&lt;=Assumptions!$E$128+0.0001,"OK","Over cap")</f>
        <v/>
      </c>
      <c r="K111" s="9">
        <f>IF(K$31&lt;=Assumptions!$E$128+0.0001,"OK","Over cap")</f>
        <v/>
      </c>
      <c r="L111" s="70">
        <f>IF(L$31&lt;=Assumptions!$E$128+0.0001,"OK","Over cap")</f>
        <v/>
      </c>
    </row>
    <row r="112">
      <c r="A112" s="37" t="inlineStr">
        <is>
          <t>Check: utilization at or below 85%</t>
        </is>
      </c>
      <c r="B112" s="9">
        <f>IF(B$40&lt;=0.85,"OK","Check")</f>
        <v/>
      </c>
      <c r="C112" s="9">
        <f>IF(C$40&lt;=0.85,"OK","Check")</f>
        <v/>
      </c>
      <c r="D112" s="9">
        <f>IF(D$40&lt;=0.85,"OK","Check")</f>
        <v/>
      </c>
      <c r="E112" s="9">
        <f>IF(E$40&lt;=0.85,"OK","Check")</f>
        <v/>
      </c>
      <c r="F112" s="9">
        <f>IF(F$40&lt;=0.85,"OK","Check")</f>
        <v/>
      </c>
      <c r="G112" s="9">
        <f>IF(G$40&lt;=0.85,"OK","Check")</f>
        <v/>
      </c>
      <c r="H112" s="9">
        <f>IF(H$40&lt;=0.85,"OK","Check")</f>
        <v/>
      </c>
      <c r="I112" s="9">
        <f>IF(I$40&lt;=0.85,"OK","Check")</f>
        <v/>
      </c>
      <c r="J112" s="9">
        <f>IF(J$40&lt;=0.85,"OK","Check")</f>
        <v/>
      </c>
      <c r="K112" s="9">
        <f>IF(K$40&lt;=0.85,"OK","Check")</f>
        <v/>
      </c>
      <c r="L112" s="70">
        <f>IF(L$40&lt;=0.85,"OK","Check")</f>
        <v/>
      </c>
    </row>
  </sheetData>
  <pageMargins left="0.75" right="0.75" top="1" bottom="1" header="0.5" footer="0.5"/>
  <pageSetup orientation="landscape" fitToWidth="1"/>
</worksheet>
</file>

<file path=xl/worksheets/sheet8.xml><?xml version="1.0" encoding="utf-8"?>
<worksheet xmlns="http://schemas.openxmlformats.org/spreadsheetml/2006/main">
  <sheetPr>
    <outlinePr summaryBelow="1" summaryRight="1"/>
    <pageSetUpPr fitToPage="1"/>
  </sheetPr>
  <dimension ref="A1:N1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48" customWidth="1" min="14" max="14"/>
  </cols>
  <sheetData>
    <row r="1">
      <c r="A1" s="1" t="inlineStr">
        <is>
          <t>Bastion  -  10-year operating pro forma  -  High case</t>
        </is>
      </c>
    </row>
    <row r="2">
      <c r="A2" s="2" t="inlineStr">
        <is>
          <t>Full Bastion: 12 cabins on 50 acres and USD 2M of land, Mid California prices with our cost-down choices, a harder parcel, strong demand. Constant 2026 USD. Contributed income is shown separately from earned revenue. Cash flow is before financing (no debt service, no depreciation).</t>
        </is>
      </c>
    </row>
    <row r="4">
      <c r="A4" s="3" t="inlineStr">
        <is>
          <t>USD, constant 2026</t>
        </is>
      </c>
      <c r="B4" s="4" t="n">
        <v>2027</v>
      </c>
      <c r="C4" s="4" t="n">
        <v>2028</v>
      </c>
      <c r="D4" s="4" t="n">
        <v>2029</v>
      </c>
      <c r="E4" s="4" t="n">
        <v>2030</v>
      </c>
      <c r="F4" s="4" t="n">
        <v>2031</v>
      </c>
      <c r="G4" s="4" t="n">
        <v>2032</v>
      </c>
      <c r="H4" s="4" t="n">
        <v>2033</v>
      </c>
      <c r="I4" s="4" t="n">
        <v>2034</v>
      </c>
      <c r="J4" s="4" t="n">
        <v>2035</v>
      </c>
      <c r="K4" s="4" t="n">
        <v>2036</v>
      </c>
      <c r="L4" s="4" t="inlineStr">
        <is>
          <t>Stabilized</t>
        </is>
      </c>
      <c r="M4" s="4" t="inlineStr">
        <is>
          <t>2027-36 total</t>
        </is>
      </c>
      <c r="N4" s="4" t="inlineStr">
        <is>
          <t>Notes</t>
        </is>
      </c>
    </row>
    <row r="5">
      <c r="A5" s="7" t="inlineStr">
        <is>
          <t>TIMING AND DRIVERS</t>
        </is>
      </c>
      <c r="B5" s="8" t="n"/>
      <c r="C5" s="8" t="n"/>
      <c r="D5" s="8" t="n"/>
      <c r="E5" s="8" t="n"/>
      <c r="F5" s="8" t="n"/>
      <c r="G5" s="8" t="n"/>
      <c r="H5" s="8" t="n"/>
      <c r="I5" s="8" t="n"/>
      <c r="J5" s="8" t="n"/>
      <c r="K5" s="8" t="n"/>
      <c r="L5" s="8" t="n"/>
      <c r="M5" s="8" t="n"/>
      <c r="N5" s="8" t="n"/>
    </row>
    <row r="6">
      <c r="A6" s="37" t="inlineStr">
        <is>
          <t>Year</t>
        </is>
      </c>
      <c r="B6" s="51">
        <f>Assumptions!$G$7</f>
        <v/>
      </c>
      <c r="C6" s="51">
        <f>B6+1</f>
        <v/>
      </c>
      <c r="D6" s="51">
        <f>C6+1</f>
        <v/>
      </c>
      <c r="E6" s="51">
        <f>D6+1</f>
        <v/>
      </c>
      <c r="F6" s="51">
        <f>E6+1</f>
        <v/>
      </c>
      <c r="G6" s="51">
        <f>F6+1</f>
        <v/>
      </c>
      <c r="H6" s="51">
        <f>G6+1</f>
        <v/>
      </c>
      <c r="I6" s="51">
        <f>H6+1</f>
        <v/>
      </c>
      <c r="J6" s="51">
        <f>I6+1</f>
        <v/>
      </c>
      <c r="K6" s="51">
        <f>J6+1</f>
        <v/>
      </c>
      <c r="L6" s="52">
        <f>9999</f>
        <v/>
      </c>
    </row>
    <row r="7">
      <c r="A7" s="37" t="inlineStr">
        <is>
          <t>Operating year (1 = Phase 1 opening year)</t>
        </is>
      </c>
      <c r="B7" s="21">
        <f>B$6-Assumptions!$G$9+1</f>
        <v/>
      </c>
      <c r="C7" s="21">
        <f>C$6-Assumptions!$G$9+1</f>
        <v/>
      </c>
      <c r="D7" s="21">
        <f>D$6-Assumptions!$G$9+1</f>
        <v/>
      </c>
      <c r="E7" s="21">
        <f>E$6-Assumptions!$G$9+1</f>
        <v/>
      </c>
      <c r="F7" s="21">
        <f>F$6-Assumptions!$G$9+1</f>
        <v/>
      </c>
      <c r="G7" s="21">
        <f>G$6-Assumptions!$G$9+1</f>
        <v/>
      </c>
      <c r="H7" s="21">
        <f>H$6-Assumptions!$G$9+1</f>
        <v/>
      </c>
      <c r="I7" s="21">
        <f>I$6-Assumptions!$G$9+1</f>
        <v/>
      </c>
      <c r="J7" s="21">
        <f>J$6-Assumptions!$G$9+1</f>
        <v/>
      </c>
      <c r="K7" s="21">
        <f>K$6-Assumptions!$G$9+1</f>
        <v/>
      </c>
      <c r="L7" s="53">
        <f>L$6-Assumptions!$G$9+1</f>
        <v/>
      </c>
      <c r="N7" s="54" t="inlineStr">
        <is>
          <t>Phases 1 and 2 open in May 2030 (share set on Assumptions)</t>
        </is>
      </c>
    </row>
    <row r="8">
      <c r="A8" s="37" t="inlineStr">
        <is>
          <t>Phase 1 in operation (share of year)</t>
        </is>
      </c>
      <c r="B8" s="55">
        <f>IF(B$6&lt;Assumptions!$G$9,0,IF(B$6=Assumptions!$G$9,Assumptions!$G$12,1))</f>
        <v/>
      </c>
      <c r="C8" s="55">
        <f>IF(C$6&lt;Assumptions!$G$9,0,IF(C$6=Assumptions!$G$9,Assumptions!$G$12,1))</f>
        <v/>
      </c>
      <c r="D8" s="55">
        <f>IF(D$6&lt;Assumptions!$G$9,0,IF(D$6=Assumptions!$G$9,Assumptions!$G$12,1))</f>
        <v/>
      </c>
      <c r="E8" s="55">
        <f>IF(E$6&lt;Assumptions!$G$9,0,IF(E$6=Assumptions!$G$9,Assumptions!$G$12,1))</f>
        <v/>
      </c>
      <c r="F8" s="55">
        <f>IF(F$6&lt;Assumptions!$G$9,0,IF(F$6=Assumptions!$G$9,Assumptions!$G$12,1))</f>
        <v/>
      </c>
      <c r="G8" s="55">
        <f>IF(G$6&lt;Assumptions!$G$9,0,IF(G$6=Assumptions!$G$9,Assumptions!$G$12,1))</f>
        <v/>
      </c>
      <c r="H8" s="55">
        <f>IF(H$6&lt;Assumptions!$G$9,0,IF(H$6=Assumptions!$G$9,Assumptions!$G$12,1))</f>
        <v/>
      </c>
      <c r="I8" s="55">
        <f>IF(I$6&lt;Assumptions!$G$9,0,IF(I$6=Assumptions!$G$9,Assumptions!$G$12,1))</f>
        <v/>
      </c>
      <c r="J8" s="55">
        <f>IF(J$6&lt;Assumptions!$G$9,0,IF(J$6=Assumptions!$G$9,Assumptions!$G$12,1))</f>
        <v/>
      </c>
      <c r="K8" s="55">
        <f>IF(K$6&lt;Assumptions!$G$9,0,IF(K$6=Assumptions!$G$9,Assumptions!$G$12,1))</f>
        <v/>
      </c>
      <c r="L8" s="56">
        <f>IF(L$6&lt;Assumptions!$G$9,0,IF(L$6=Assumptions!$G$9,Assumptions!$G$12,1))</f>
        <v/>
      </c>
    </row>
    <row r="9">
      <c r="A9" s="37" t="inlineStr">
        <is>
          <t>Phase 2 in operation (share of year)</t>
        </is>
      </c>
      <c r="B9" s="55">
        <f>IF(B$6&lt;Assumptions!$G$10,0,IF(B$6=Assumptions!$G$10,Assumptions!$G$13,1))</f>
        <v/>
      </c>
      <c r="C9" s="55">
        <f>IF(C$6&lt;Assumptions!$G$10,0,IF(C$6=Assumptions!$G$10,Assumptions!$G$13,1))</f>
        <v/>
      </c>
      <c r="D9" s="55">
        <f>IF(D$6&lt;Assumptions!$G$10,0,IF(D$6=Assumptions!$G$10,Assumptions!$G$13,1))</f>
        <v/>
      </c>
      <c r="E9" s="55">
        <f>IF(E$6&lt;Assumptions!$G$10,0,IF(E$6=Assumptions!$G$10,Assumptions!$G$13,1))</f>
        <v/>
      </c>
      <c r="F9" s="55">
        <f>IF(F$6&lt;Assumptions!$G$10,0,IF(F$6=Assumptions!$G$10,Assumptions!$G$13,1))</f>
        <v/>
      </c>
      <c r="G9" s="55">
        <f>IF(G$6&lt;Assumptions!$G$10,0,IF(G$6=Assumptions!$G$10,Assumptions!$G$13,1))</f>
        <v/>
      </c>
      <c r="H9" s="55">
        <f>IF(H$6&lt;Assumptions!$G$10,0,IF(H$6=Assumptions!$G$10,Assumptions!$G$13,1))</f>
        <v/>
      </c>
      <c r="I9" s="55">
        <f>IF(I$6&lt;Assumptions!$G$10,0,IF(I$6=Assumptions!$G$10,Assumptions!$G$13,1))</f>
        <v/>
      </c>
      <c r="J9" s="55">
        <f>IF(J$6&lt;Assumptions!$G$10,0,IF(J$6=Assumptions!$G$10,Assumptions!$G$13,1))</f>
        <v/>
      </c>
      <c r="K9" s="55">
        <f>IF(K$6&lt;Assumptions!$G$10,0,IF(K$6=Assumptions!$G$10,Assumptions!$G$13,1))</f>
        <v/>
      </c>
      <c r="L9" s="56">
        <f>IF(L$6&lt;Assumptions!$G$10,0,IF(L$6=Assumptions!$G$10,Assumptions!$G$13,1))</f>
        <v/>
      </c>
    </row>
    <row r="10">
      <c r="A10" s="37" t="inlineStr">
        <is>
          <t>Phase 3 in operation (share of year)</t>
        </is>
      </c>
      <c r="B10" s="55">
        <f>IF(B$6&lt;Assumptions!$G$11,0,IF(B$6=Assumptions!$G$11,Assumptions!$G$14,1))</f>
        <v/>
      </c>
      <c r="C10" s="55">
        <f>IF(C$6&lt;Assumptions!$G$11,0,IF(C$6=Assumptions!$G$11,Assumptions!$G$14,1))</f>
        <v/>
      </c>
      <c r="D10" s="55">
        <f>IF(D$6&lt;Assumptions!$G$11,0,IF(D$6=Assumptions!$G$11,Assumptions!$G$14,1))</f>
        <v/>
      </c>
      <c r="E10" s="55">
        <f>IF(E$6&lt;Assumptions!$G$11,0,IF(E$6=Assumptions!$G$11,Assumptions!$G$14,1))</f>
        <v/>
      </c>
      <c r="F10" s="55">
        <f>IF(F$6&lt;Assumptions!$G$11,0,IF(F$6=Assumptions!$G$11,Assumptions!$G$14,1))</f>
        <v/>
      </c>
      <c r="G10" s="55">
        <f>IF(G$6&lt;Assumptions!$G$11,0,IF(G$6=Assumptions!$G$11,Assumptions!$G$14,1))</f>
        <v/>
      </c>
      <c r="H10" s="55">
        <f>IF(H$6&lt;Assumptions!$G$11,0,IF(H$6=Assumptions!$G$11,Assumptions!$G$14,1))</f>
        <v/>
      </c>
      <c r="I10" s="55">
        <f>IF(I$6&lt;Assumptions!$G$11,0,IF(I$6=Assumptions!$G$11,Assumptions!$G$14,1))</f>
        <v/>
      </c>
      <c r="J10" s="55">
        <f>IF(J$6&lt;Assumptions!$G$11,0,IF(J$6=Assumptions!$G$11,Assumptions!$G$14,1))</f>
        <v/>
      </c>
      <c r="K10" s="55">
        <f>IF(K$6&lt;Assumptions!$G$11,0,IF(K$6=Assumptions!$G$11,Assumptions!$G$14,1))</f>
        <v/>
      </c>
      <c r="L10" s="56">
        <f>IF(L$6&lt;Assumptions!$G$11,0,IF(L$6=Assumptions!$G$11,Assumptions!$G$14,1))</f>
        <v/>
      </c>
    </row>
    <row r="11">
      <c r="A11" s="37" t="inlineStr">
        <is>
          <t>Before Phase 1 opening (1 = yes)</t>
        </is>
      </c>
      <c r="B11" s="21">
        <f>IF(B$6&lt;Assumptions!$G$9,1,0)</f>
        <v/>
      </c>
      <c r="C11" s="21">
        <f>IF(C$6&lt;Assumptions!$G$9,1,0)</f>
        <v/>
      </c>
      <c r="D11" s="21">
        <f>IF(D$6&lt;Assumptions!$G$9,1,0)</f>
        <v/>
      </c>
      <c r="E11" s="21">
        <f>IF(E$6&lt;Assumptions!$G$9,1,0)</f>
        <v/>
      </c>
      <c r="F11" s="21">
        <f>IF(F$6&lt;Assumptions!$G$9,1,0)</f>
        <v/>
      </c>
      <c r="G11" s="21">
        <f>IF(G$6&lt;Assumptions!$G$9,1,0)</f>
        <v/>
      </c>
      <c r="H11" s="21">
        <f>IF(H$6&lt;Assumptions!$G$9,1,0)</f>
        <v/>
      </c>
      <c r="I11" s="21">
        <f>IF(I$6&lt;Assumptions!$G$9,1,0)</f>
        <v/>
      </c>
      <c r="J11" s="21">
        <f>IF(J$6&lt;Assumptions!$G$9,1,0)</f>
        <v/>
      </c>
      <c r="K11" s="21">
        <f>IF(K$6&lt;Assumptions!$G$9,1,0)</f>
        <v/>
      </c>
      <c r="L11" s="53">
        <f>IF(L$6&lt;Assumptions!$G$9,1,0)</f>
        <v/>
      </c>
    </row>
    <row r="12">
      <c r="A12" s="37" t="inlineStr">
        <is>
          <t>Stage 0 pop-up year on site (1 = yes)</t>
        </is>
      </c>
      <c r="B12" s="21">
        <f>IF(AND(B$6&gt;Assumptions!$G$8,B$6&lt;Assumptions!$G$9),1,0)</f>
        <v/>
      </c>
      <c r="C12" s="21">
        <f>IF(AND(C$6&gt;Assumptions!$G$8,C$6&lt;Assumptions!$G$9),1,0)</f>
        <v/>
      </c>
      <c r="D12" s="21">
        <f>IF(AND(D$6&gt;Assumptions!$G$8,D$6&lt;Assumptions!$G$9),1,0)</f>
        <v/>
      </c>
      <c r="E12" s="21">
        <f>IF(AND(E$6&gt;Assumptions!$G$8,E$6&lt;Assumptions!$G$9),1,0)</f>
        <v/>
      </c>
      <c r="F12" s="21">
        <f>IF(AND(F$6&gt;Assumptions!$G$8,F$6&lt;Assumptions!$G$9),1,0)</f>
        <v/>
      </c>
      <c r="G12" s="21">
        <f>IF(AND(G$6&gt;Assumptions!$G$8,G$6&lt;Assumptions!$G$9),1,0)</f>
        <v/>
      </c>
      <c r="H12" s="21">
        <f>IF(AND(H$6&gt;Assumptions!$G$8,H$6&lt;Assumptions!$G$9),1,0)</f>
        <v/>
      </c>
      <c r="I12" s="21">
        <f>IF(AND(I$6&gt;Assumptions!$G$8,I$6&lt;Assumptions!$G$9),1,0)</f>
        <v/>
      </c>
      <c r="J12" s="21">
        <f>IF(AND(J$6&gt;Assumptions!$G$8,J$6&lt;Assumptions!$G$9),1,0)</f>
        <v/>
      </c>
      <c r="K12" s="21">
        <f>IF(AND(K$6&gt;Assumptions!$G$8,K$6&lt;Assumptions!$G$9),1,0)</f>
        <v/>
      </c>
      <c r="L12" s="53">
        <f>IF(AND(L$6&gt;Assumptions!$G$8,L$6&lt;Assumptions!$G$9),1,0)</f>
        <v/>
      </c>
    </row>
    <row r="13">
      <c r="A13" s="37" t="inlineStr">
        <is>
          <t>Land owned (1 = yes)</t>
        </is>
      </c>
      <c r="B13" s="21">
        <f>IF(B$6&gt;=Assumptions!$G$8,1,0)</f>
        <v/>
      </c>
      <c r="C13" s="21">
        <f>IF(C$6&gt;=Assumptions!$G$8,1,0)</f>
        <v/>
      </c>
      <c r="D13" s="21">
        <f>IF(D$6&gt;=Assumptions!$G$8,1,0)</f>
        <v/>
      </c>
      <c r="E13" s="21">
        <f>IF(E$6&gt;=Assumptions!$G$8,1,0)</f>
        <v/>
      </c>
      <c r="F13" s="21">
        <f>IF(F$6&gt;=Assumptions!$G$8,1,0)</f>
        <v/>
      </c>
      <c r="G13" s="21">
        <f>IF(G$6&gt;=Assumptions!$G$8,1,0)</f>
        <v/>
      </c>
      <c r="H13" s="21">
        <f>IF(H$6&gt;=Assumptions!$G$8,1,0)</f>
        <v/>
      </c>
      <c r="I13" s="21">
        <f>IF(I$6&gt;=Assumptions!$G$8,1,0)</f>
        <v/>
      </c>
      <c r="J13" s="21">
        <f>IF(J$6&gt;=Assumptions!$G$8,1,0)</f>
        <v/>
      </c>
      <c r="K13" s="21">
        <f>IF(K$6&gt;=Assumptions!$G$8,1,0)</f>
        <v/>
      </c>
      <c r="L13" s="53">
        <f>IF(L$6&gt;=Assumptions!$G$8,1,0)</f>
        <v/>
      </c>
    </row>
    <row r="14">
      <c r="A14" s="37" t="inlineStr">
        <is>
          <t>Demand ramp</t>
        </is>
      </c>
      <c r="B14" s="55">
        <f>IF(B$7&lt;1,0,INDEX(Assumptions!$G$147:$G$150,MIN(B$7,4)))</f>
        <v/>
      </c>
      <c r="C14" s="55">
        <f>IF(C$7&lt;1,0,INDEX(Assumptions!$G$147:$G$150,MIN(C$7,4)))</f>
        <v/>
      </c>
      <c r="D14" s="55">
        <f>IF(D$7&lt;1,0,INDEX(Assumptions!$G$147:$G$150,MIN(D$7,4)))</f>
        <v/>
      </c>
      <c r="E14" s="55">
        <f>IF(E$7&lt;1,0,INDEX(Assumptions!$G$147:$G$150,MIN(E$7,4)))</f>
        <v/>
      </c>
      <c r="F14" s="55">
        <f>IF(F$7&lt;1,0,INDEX(Assumptions!$G$147:$G$150,MIN(F$7,4)))</f>
        <v/>
      </c>
      <c r="G14" s="55">
        <f>IF(G$7&lt;1,0,INDEX(Assumptions!$G$147:$G$150,MIN(G$7,4)))</f>
        <v/>
      </c>
      <c r="H14" s="55">
        <f>IF(H$7&lt;1,0,INDEX(Assumptions!$G$147:$G$150,MIN(H$7,4)))</f>
        <v/>
      </c>
      <c r="I14" s="55">
        <f>IF(I$7&lt;1,0,INDEX(Assumptions!$G$147:$G$150,MIN(I$7,4)))</f>
        <v/>
      </c>
      <c r="J14" s="55">
        <f>IF(J$7&lt;1,0,INDEX(Assumptions!$G$147:$G$150,MIN(J$7,4)))</f>
        <v/>
      </c>
      <c r="K14" s="55">
        <f>IF(K$7&lt;1,0,INDEX(Assumptions!$G$147:$G$150,MIN(K$7,4)))</f>
        <v/>
      </c>
      <c r="L14" s="56">
        <f>IF(L$7&lt;1,0,INDEX(Assumptions!$G$147:$G$150,MIN(L$7,4)))</f>
        <v/>
      </c>
    </row>
    <row r="15">
      <c r="A15" s="37" t="inlineStr">
        <is>
          <t>Contributed income ramp</t>
        </is>
      </c>
      <c r="B15" s="55">
        <f>IF(B$7&lt;1,B$13*Assumptions!$G$151,INDEX(Assumptions!$G$152:$G$155,MIN(B$7,4)))</f>
        <v/>
      </c>
      <c r="C15" s="55">
        <f>IF(C$7&lt;1,C$13*Assumptions!$G$151,INDEX(Assumptions!$G$152:$G$155,MIN(C$7,4)))</f>
        <v/>
      </c>
      <c r="D15" s="55">
        <f>IF(D$7&lt;1,D$13*Assumptions!$G$151,INDEX(Assumptions!$G$152:$G$155,MIN(D$7,4)))</f>
        <v/>
      </c>
      <c r="E15" s="55">
        <f>IF(E$7&lt;1,E$13*Assumptions!$G$151,INDEX(Assumptions!$G$152:$G$155,MIN(E$7,4)))</f>
        <v/>
      </c>
      <c r="F15" s="55">
        <f>IF(F$7&lt;1,F$13*Assumptions!$G$151,INDEX(Assumptions!$G$152:$G$155,MIN(F$7,4)))</f>
        <v/>
      </c>
      <c r="G15" s="55">
        <f>IF(G$7&lt;1,G$13*Assumptions!$G$151,INDEX(Assumptions!$G$152:$G$155,MIN(G$7,4)))</f>
        <v/>
      </c>
      <c r="H15" s="55">
        <f>IF(H$7&lt;1,H$13*Assumptions!$G$151,INDEX(Assumptions!$G$152:$G$155,MIN(H$7,4)))</f>
        <v/>
      </c>
      <c r="I15" s="55">
        <f>IF(I$7&lt;1,I$13*Assumptions!$G$151,INDEX(Assumptions!$G$152:$G$155,MIN(I$7,4)))</f>
        <v/>
      </c>
      <c r="J15" s="55">
        <f>IF(J$7&lt;1,J$13*Assumptions!$G$151,INDEX(Assumptions!$G$152:$G$155,MIN(J$7,4)))</f>
        <v/>
      </c>
      <c r="K15" s="55">
        <f>IF(K$7&lt;1,K$13*Assumptions!$G$151,INDEX(Assumptions!$G$152:$G$155,MIN(K$7,4)))</f>
        <v/>
      </c>
      <c r="L15" s="56">
        <f>IF(L$7&lt;1,L$13*Assumptions!$G$151,INDEX(Assumptions!$G$152:$G$155,MIN(L$7,4)))</f>
        <v/>
      </c>
    </row>
    <row r="16">
      <c r="A16" s="37" t="inlineStr">
        <is>
          <t>Studio ramp (years since Phase 2 opening)</t>
        </is>
      </c>
      <c r="B16" s="55">
        <f>IF(B$6&lt;Assumptions!$G$10,0,INDEX(Assumptions!$G$147:$G$150,MIN(B$6-Assumptions!$G$10+1,4)))</f>
        <v/>
      </c>
      <c r="C16" s="55">
        <f>IF(C$6&lt;Assumptions!$G$10,0,INDEX(Assumptions!$G$147:$G$150,MIN(C$6-Assumptions!$G$10+1,4)))</f>
        <v/>
      </c>
      <c r="D16" s="55">
        <f>IF(D$6&lt;Assumptions!$G$10,0,INDEX(Assumptions!$G$147:$G$150,MIN(D$6-Assumptions!$G$10+1,4)))</f>
        <v/>
      </c>
      <c r="E16" s="55">
        <f>IF(E$6&lt;Assumptions!$G$10,0,INDEX(Assumptions!$G$147:$G$150,MIN(E$6-Assumptions!$G$10+1,4)))</f>
        <v/>
      </c>
      <c r="F16" s="55">
        <f>IF(F$6&lt;Assumptions!$G$10,0,INDEX(Assumptions!$G$147:$G$150,MIN(F$6-Assumptions!$G$10+1,4)))</f>
        <v/>
      </c>
      <c r="G16" s="55">
        <f>IF(G$6&lt;Assumptions!$G$10,0,INDEX(Assumptions!$G$147:$G$150,MIN(G$6-Assumptions!$G$10+1,4)))</f>
        <v/>
      </c>
      <c r="H16" s="55">
        <f>IF(H$6&lt;Assumptions!$G$10,0,INDEX(Assumptions!$G$147:$G$150,MIN(H$6-Assumptions!$G$10+1,4)))</f>
        <v/>
      </c>
      <c r="I16" s="55">
        <f>IF(I$6&lt;Assumptions!$G$10,0,INDEX(Assumptions!$G$147:$G$150,MIN(I$6-Assumptions!$G$10+1,4)))</f>
        <v/>
      </c>
      <c r="J16" s="55">
        <f>IF(J$6&lt;Assumptions!$G$10,0,INDEX(Assumptions!$G$147:$G$150,MIN(J$6-Assumptions!$G$10+1,4)))</f>
        <v/>
      </c>
      <c r="K16" s="55">
        <f>IF(K$6&lt;Assumptions!$G$10,0,INDEX(Assumptions!$G$147:$G$150,MIN(K$6-Assumptions!$G$10+1,4)))</f>
        <v/>
      </c>
      <c r="L16" s="56">
        <f>IF(L$6&lt;Assumptions!$G$10,0,INDEX(Assumptions!$G$147:$G$150,MIN(L$6-Assumptions!$G$10+1,4)))</f>
        <v/>
      </c>
    </row>
    <row r="17">
      <c r="A17" s="37" t="inlineStr">
        <is>
          <t>Gallery ramp (years since Phase 3 opening)</t>
        </is>
      </c>
      <c r="B17" s="55">
        <f>IF(B$6&lt;Assumptions!$G$11,0,INDEX(Assumptions!$G$147:$G$150,MIN(B$6-Assumptions!$G$11+1,4)))</f>
        <v/>
      </c>
      <c r="C17" s="55">
        <f>IF(C$6&lt;Assumptions!$G$11,0,INDEX(Assumptions!$G$147:$G$150,MIN(C$6-Assumptions!$G$11+1,4)))</f>
        <v/>
      </c>
      <c r="D17" s="55">
        <f>IF(D$6&lt;Assumptions!$G$11,0,INDEX(Assumptions!$G$147:$G$150,MIN(D$6-Assumptions!$G$11+1,4)))</f>
        <v/>
      </c>
      <c r="E17" s="55">
        <f>IF(E$6&lt;Assumptions!$G$11,0,INDEX(Assumptions!$G$147:$G$150,MIN(E$6-Assumptions!$G$11+1,4)))</f>
        <v/>
      </c>
      <c r="F17" s="55">
        <f>IF(F$6&lt;Assumptions!$G$11,0,INDEX(Assumptions!$G$147:$G$150,MIN(F$6-Assumptions!$G$11+1,4)))</f>
        <v/>
      </c>
      <c r="G17" s="55">
        <f>IF(G$6&lt;Assumptions!$G$11,0,INDEX(Assumptions!$G$147:$G$150,MIN(G$6-Assumptions!$G$11+1,4)))</f>
        <v/>
      </c>
      <c r="H17" s="55">
        <f>IF(H$6&lt;Assumptions!$G$11,0,INDEX(Assumptions!$G$147:$G$150,MIN(H$6-Assumptions!$G$11+1,4)))</f>
        <v/>
      </c>
      <c r="I17" s="55">
        <f>IF(I$6&lt;Assumptions!$G$11,0,INDEX(Assumptions!$G$147:$G$150,MIN(I$6-Assumptions!$G$11+1,4)))</f>
        <v/>
      </c>
      <c r="J17" s="55">
        <f>IF(J$6&lt;Assumptions!$G$11,0,INDEX(Assumptions!$G$147:$G$150,MIN(J$6-Assumptions!$G$11+1,4)))</f>
        <v/>
      </c>
      <c r="K17" s="55">
        <f>IF(K$6&lt;Assumptions!$G$11,0,INDEX(Assumptions!$G$147:$G$150,MIN(K$6-Assumptions!$G$11+1,4)))</f>
        <v/>
      </c>
      <c r="L17" s="56">
        <f>IF(L$6&lt;Assumptions!$G$11,0,INDEX(Assumptions!$G$147:$G$150,MIN(L$6-Assumptions!$G$11+1,4)))</f>
        <v/>
      </c>
    </row>
    <row r="18">
      <c r="A18" s="37" t="inlineStr">
        <is>
          <t>Price index (1 = 2026 dollars)</t>
        </is>
      </c>
      <c r="B18" s="57">
        <f>IF(B$6&gt;3000,1,(1+Assumptions!$G$189)^(B$6-2026))</f>
        <v/>
      </c>
      <c r="C18" s="57">
        <f>IF(C$6&gt;3000,1,(1+Assumptions!$G$189)^(C$6-2026))</f>
        <v/>
      </c>
      <c r="D18" s="57">
        <f>IF(D$6&gt;3000,1,(1+Assumptions!$G$189)^(D$6-2026))</f>
        <v/>
      </c>
      <c r="E18" s="57">
        <f>IF(E$6&gt;3000,1,(1+Assumptions!$G$189)^(E$6-2026))</f>
        <v/>
      </c>
      <c r="F18" s="57">
        <f>IF(F$6&gt;3000,1,(1+Assumptions!$G$189)^(F$6-2026))</f>
        <v/>
      </c>
      <c r="G18" s="57">
        <f>IF(G$6&gt;3000,1,(1+Assumptions!$G$189)^(G$6-2026))</f>
        <v/>
      </c>
      <c r="H18" s="57">
        <f>IF(H$6&gt;3000,1,(1+Assumptions!$G$189)^(H$6-2026))</f>
        <v/>
      </c>
      <c r="I18" s="57">
        <f>IF(I$6&gt;3000,1,(1+Assumptions!$G$189)^(I$6-2026))</f>
        <v/>
      </c>
      <c r="J18" s="57">
        <f>IF(J$6&gt;3000,1,(1+Assumptions!$G$189)^(J$6-2026))</f>
        <v/>
      </c>
      <c r="K18" s="57">
        <f>IF(K$6&gt;3000,1,(1+Assumptions!$G$189)^(K$6-2026))</f>
        <v/>
      </c>
      <c r="L18" s="58">
        <f>IF(L$6&gt;3000,1,(1+Assumptions!$G$189)^(L$6-2026))</f>
        <v/>
      </c>
    </row>
    <row r="19">
      <c r="A19" s="37" t="inlineStr">
        <is>
          <t>Cabins in service (year-weighted)</t>
        </is>
      </c>
      <c r="B19" s="59">
        <f>Assumptions!$G$17*B$8+(Assumptions!$G$16-Assumptions!$G$17)*B$9</f>
        <v/>
      </c>
      <c r="C19" s="59">
        <f>Assumptions!$G$17*C$8+(Assumptions!$G$16-Assumptions!$G$17)*C$9</f>
        <v/>
      </c>
      <c r="D19" s="59">
        <f>Assumptions!$G$17*D$8+(Assumptions!$G$16-Assumptions!$G$17)*D$9</f>
        <v/>
      </c>
      <c r="E19" s="59">
        <f>Assumptions!$G$17*E$8+(Assumptions!$G$16-Assumptions!$G$17)*E$9</f>
        <v/>
      </c>
      <c r="F19" s="59">
        <f>Assumptions!$G$17*F$8+(Assumptions!$G$16-Assumptions!$G$17)*F$9</f>
        <v/>
      </c>
      <c r="G19" s="59">
        <f>Assumptions!$G$17*G$8+(Assumptions!$G$16-Assumptions!$G$17)*G$9</f>
        <v/>
      </c>
      <c r="H19" s="59">
        <f>Assumptions!$G$17*H$8+(Assumptions!$G$16-Assumptions!$G$17)*H$9</f>
        <v/>
      </c>
      <c r="I19" s="59">
        <f>Assumptions!$G$17*I$8+(Assumptions!$G$16-Assumptions!$G$17)*I$9</f>
        <v/>
      </c>
      <c r="J19" s="59">
        <f>Assumptions!$G$17*J$8+(Assumptions!$G$16-Assumptions!$G$17)*J$9</f>
        <v/>
      </c>
      <c r="K19" s="59">
        <f>Assumptions!$G$17*K$8+(Assumptions!$G$16-Assumptions!$G$17)*K$9</f>
        <v/>
      </c>
      <c r="L19" s="60">
        <f>Assumptions!$G$17*L$8+(Assumptions!$G$16-Assumptions!$G$17)*L$9</f>
        <v/>
      </c>
    </row>
    <row r="20">
      <c r="A20" s="37" t="inlineStr">
        <is>
          <t>Cabins installed</t>
        </is>
      </c>
      <c r="B20" s="21">
        <f>Assumptions!$G$17*(B$8&gt;0)+(Assumptions!$G$16-Assumptions!$G$17)*(B$9&gt;0)</f>
        <v/>
      </c>
      <c r="C20" s="21">
        <f>Assumptions!$G$17*(C$8&gt;0)+(Assumptions!$G$16-Assumptions!$G$17)*(C$9&gt;0)</f>
        <v/>
      </c>
      <c r="D20" s="21">
        <f>Assumptions!$G$17*(D$8&gt;0)+(Assumptions!$G$16-Assumptions!$G$17)*(D$9&gt;0)</f>
        <v/>
      </c>
      <c r="E20" s="21">
        <f>Assumptions!$G$17*(E$8&gt;0)+(Assumptions!$G$16-Assumptions!$G$17)*(E$9&gt;0)</f>
        <v/>
      </c>
      <c r="F20" s="21">
        <f>Assumptions!$G$17*(F$8&gt;0)+(Assumptions!$G$16-Assumptions!$G$17)*(F$9&gt;0)</f>
        <v/>
      </c>
      <c r="G20" s="21">
        <f>Assumptions!$G$17*(G$8&gt;0)+(Assumptions!$G$16-Assumptions!$G$17)*(G$9&gt;0)</f>
        <v/>
      </c>
      <c r="H20" s="21">
        <f>Assumptions!$G$17*(H$8&gt;0)+(Assumptions!$G$16-Assumptions!$G$17)*(H$9&gt;0)</f>
        <v/>
      </c>
      <c r="I20" s="21">
        <f>Assumptions!$G$17*(I$8&gt;0)+(Assumptions!$G$16-Assumptions!$G$17)*(I$9&gt;0)</f>
        <v/>
      </c>
      <c r="J20" s="21">
        <f>Assumptions!$G$17*(J$8&gt;0)+(Assumptions!$G$16-Assumptions!$G$17)*(J$9&gt;0)</f>
        <v/>
      </c>
      <c r="K20" s="21">
        <f>Assumptions!$G$17*(K$8&gt;0)+(Assumptions!$G$16-Assumptions!$G$17)*(K$9&gt;0)</f>
        <v/>
      </c>
      <c r="L20" s="53">
        <f>Assumptions!$G$17*(L$8&gt;0)+(Assumptions!$G$16-Assumptions!$G$17)*(L$9&gt;0)</f>
        <v/>
      </c>
    </row>
    <row r="21">
      <c r="A21" s="37" t="inlineStr">
        <is>
          <t>Available cabin nights</t>
        </is>
      </c>
      <c r="B21" s="21">
        <f>B$19*Assumptions!$G$98</f>
        <v/>
      </c>
      <c r="C21" s="21">
        <f>C$19*Assumptions!$G$98</f>
        <v/>
      </c>
      <c r="D21" s="21">
        <f>D$19*Assumptions!$G$98</f>
        <v/>
      </c>
      <c r="E21" s="21">
        <f>E$19*Assumptions!$G$98</f>
        <v/>
      </c>
      <c r="F21" s="21">
        <f>F$19*Assumptions!$G$98</f>
        <v/>
      </c>
      <c r="G21" s="21">
        <f>G$19*Assumptions!$G$98</f>
        <v/>
      </c>
      <c r="H21" s="21">
        <f>H$19*Assumptions!$G$98</f>
        <v/>
      </c>
      <c r="I21" s="21">
        <f>I$19*Assumptions!$G$98</f>
        <v/>
      </c>
      <c r="J21" s="21">
        <f>J$19*Assumptions!$G$98</f>
        <v/>
      </c>
      <c r="K21" s="21">
        <f>K$19*Assumptions!$G$98</f>
        <v/>
      </c>
      <c r="L21" s="53">
        <f>L$19*Assumptions!$G$98</f>
        <v/>
      </c>
      <c r="M21" s="21">
        <f>SUM(B21:K21)</f>
        <v/>
      </c>
    </row>
    <row r="22">
      <c r="A22" s="37" t="inlineStr">
        <is>
          <t>Residencies</t>
        </is>
      </c>
      <c r="B22" s="59">
        <f>Assumptions!$G$105*B$14*B$8</f>
        <v/>
      </c>
      <c r="C22" s="59">
        <f>Assumptions!$G$105*C$14*C$8</f>
        <v/>
      </c>
      <c r="D22" s="59">
        <f>Assumptions!$G$105*D$14*D$8</f>
        <v/>
      </c>
      <c r="E22" s="59">
        <f>Assumptions!$G$105*E$14*E$8</f>
        <v/>
      </c>
      <c r="F22" s="59">
        <f>Assumptions!$G$105*F$14*F$8</f>
        <v/>
      </c>
      <c r="G22" s="59">
        <f>Assumptions!$G$105*G$14*G$8</f>
        <v/>
      </c>
      <c r="H22" s="59">
        <f>Assumptions!$G$105*H$14*H$8</f>
        <v/>
      </c>
      <c r="I22" s="59">
        <f>Assumptions!$G$105*I$14*I$8</f>
        <v/>
      </c>
      <c r="J22" s="59">
        <f>Assumptions!$G$105*J$14*J$8</f>
        <v/>
      </c>
      <c r="K22" s="59">
        <f>Assumptions!$G$105*K$14*K$8</f>
        <v/>
      </c>
      <c r="L22" s="60">
        <f>Assumptions!$G$105*L$14*L$8</f>
        <v/>
      </c>
      <c r="M22" s="59">
        <f>SUM(B22:K22)</f>
        <v/>
      </c>
    </row>
    <row r="23">
      <c r="A23" s="37" t="inlineStr">
        <is>
          <t>Residency cabin nights (no charge)</t>
        </is>
      </c>
      <c r="B23" s="21">
        <f>B$22*Assumptions!$G$106*Assumptions!$G$107</f>
        <v/>
      </c>
      <c r="C23" s="21">
        <f>C$22*Assumptions!$G$106*Assumptions!$G$107</f>
        <v/>
      </c>
      <c r="D23" s="21">
        <f>D$22*Assumptions!$G$106*Assumptions!$G$107</f>
        <v/>
      </c>
      <c r="E23" s="21">
        <f>E$22*Assumptions!$G$106*Assumptions!$G$107</f>
        <v/>
      </c>
      <c r="F23" s="21">
        <f>F$22*Assumptions!$G$106*Assumptions!$G$107</f>
        <v/>
      </c>
      <c r="G23" s="21">
        <f>G$22*Assumptions!$G$106*Assumptions!$G$107</f>
        <v/>
      </c>
      <c r="H23" s="21">
        <f>H$22*Assumptions!$G$106*Assumptions!$G$107</f>
        <v/>
      </c>
      <c r="I23" s="21">
        <f>I$22*Assumptions!$G$106*Assumptions!$G$107</f>
        <v/>
      </c>
      <c r="J23" s="21">
        <f>J$22*Assumptions!$G$106*Assumptions!$G$107</f>
        <v/>
      </c>
      <c r="K23" s="21">
        <f>K$22*Assumptions!$G$106*Assumptions!$G$107</f>
        <v/>
      </c>
      <c r="L23" s="53">
        <f>L$22*Assumptions!$G$106*Assumptions!$G$107</f>
        <v/>
      </c>
      <c r="M23" s="21">
        <f>SUM(B23:K23)</f>
        <v/>
      </c>
    </row>
    <row r="24">
      <c r="A24" s="37" t="inlineStr">
        <is>
          <t>Retreats</t>
        </is>
      </c>
      <c r="B24" s="59">
        <f>Assumptions!$G$110*B$14*B$8</f>
        <v/>
      </c>
      <c r="C24" s="59">
        <f>Assumptions!$G$110*C$14*C$8</f>
        <v/>
      </c>
      <c r="D24" s="59">
        <f>Assumptions!$G$110*D$14*D$8</f>
        <v/>
      </c>
      <c r="E24" s="59">
        <f>Assumptions!$G$110*E$14*E$8</f>
        <v/>
      </c>
      <c r="F24" s="59">
        <f>Assumptions!$G$110*F$14*F$8</f>
        <v/>
      </c>
      <c r="G24" s="59">
        <f>Assumptions!$G$110*G$14*G$8</f>
        <v/>
      </c>
      <c r="H24" s="59">
        <f>Assumptions!$G$110*H$14*H$8</f>
        <v/>
      </c>
      <c r="I24" s="59">
        <f>Assumptions!$G$110*I$14*I$8</f>
        <v/>
      </c>
      <c r="J24" s="59">
        <f>Assumptions!$G$110*J$14*J$8</f>
        <v/>
      </c>
      <c r="K24" s="59">
        <f>Assumptions!$G$110*K$14*K$8</f>
        <v/>
      </c>
      <c r="L24" s="60">
        <f>Assumptions!$G$110*L$14*L$8</f>
        <v/>
      </c>
      <c r="M24" s="59">
        <f>SUM(B24:K24)</f>
        <v/>
      </c>
    </row>
    <row r="25">
      <c r="A25" s="37" t="inlineStr">
        <is>
          <t>Guests per retreat (capped at beds installed)</t>
        </is>
      </c>
      <c r="B25" s="21">
        <f>MIN(Assumptions!$G$111,Assumptions!$G$18*B$20)</f>
        <v/>
      </c>
      <c r="C25" s="21">
        <f>MIN(Assumptions!$G$111,Assumptions!$G$18*C$20)</f>
        <v/>
      </c>
      <c r="D25" s="21">
        <f>MIN(Assumptions!$G$111,Assumptions!$G$18*D$20)</f>
        <v/>
      </c>
      <c r="E25" s="21">
        <f>MIN(Assumptions!$G$111,Assumptions!$G$18*E$20)</f>
        <v/>
      </c>
      <c r="F25" s="21">
        <f>MIN(Assumptions!$G$111,Assumptions!$G$18*F$20)</f>
        <v/>
      </c>
      <c r="G25" s="21">
        <f>MIN(Assumptions!$G$111,Assumptions!$G$18*G$20)</f>
        <v/>
      </c>
      <c r="H25" s="21">
        <f>MIN(Assumptions!$G$111,Assumptions!$G$18*H$20)</f>
        <v/>
      </c>
      <c r="I25" s="21">
        <f>MIN(Assumptions!$G$111,Assumptions!$G$18*I$20)</f>
        <v/>
      </c>
      <c r="J25" s="21">
        <f>MIN(Assumptions!$G$111,Assumptions!$G$18*J$20)</f>
        <v/>
      </c>
      <c r="K25" s="21">
        <f>MIN(Assumptions!$G$111,Assumptions!$G$18*K$20)</f>
        <v/>
      </c>
      <c r="L25" s="53">
        <f>MIN(Assumptions!$G$111,Assumptions!$G$18*L$20)</f>
        <v/>
      </c>
      <c r="N25" s="54" t="inlineStr">
        <is>
          <t>Capped at beds installed (24 with 12 cabins)</t>
        </is>
      </c>
    </row>
    <row r="26">
      <c r="A26" s="37" t="inlineStr">
        <is>
          <t>Retreat guest-nights (one night per day on site)</t>
        </is>
      </c>
      <c r="B26" s="21">
        <f>B$24*B$25*Assumptions!$G$112</f>
        <v/>
      </c>
      <c r="C26" s="21">
        <f>C$24*C$25*Assumptions!$G$112</f>
        <v/>
      </c>
      <c r="D26" s="21">
        <f>D$24*D$25*Assumptions!$G$112</f>
        <v/>
      </c>
      <c r="E26" s="21">
        <f>E$24*E$25*Assumptions!$G$112</f>
        <v/>
      </c>
      <c r="F26" s="21">
        <f>F$24*F$25*Assumptions!$G$112</f>
        <v/>
      </c>
      <c r="G26" s="21">
        <f>G$24*G$25*Assumptions!$G$112</f>
        <v/>
      </c>
      <c r="H26" s="21">
        <f>H$24*H$25*Assumptions!$G$112</f>
        <v/>
      </c>
      <c r="I26" s="21">
        <f>I$24*I$25*Assumptions!$G$112</f>
        <v/>
      </c>
      <c r="J26" s="21">
        <f>J$24*J$25*Assumptions!$G$112</f>
        <v/>
      </c>
      <c r="K26" s="21">
        <f>K$24*K$25*Assumptions!$G$112</f>
        <v/>
      </c>
      <c r="L26" s="53">
        <f>L$24*L$25*Assumptions!$G$112</f>
        <v/>
      </c>
      <c r="M26" s="21">
        <f>SUM(B26:K26)</f>
        <v/>
      </c>
    </row>
    <row r="27">
      <c r="A27" s="37" t="inlineStr">
        <is>
          <t>Program weekends</t>
        </is>
      </c>
      <c r="B27" s="59">
        <f>Assumptions!$G$114*B$14*B$8</f>
        <v/>
      </c>
      <c r="C27" s="59">
        <f>Assumptions!$G$114*C$14*C$8</f>
        <v/>
      </c>
      <c r="D27" s="59">
        <f>Assumptions!$G$114*D$14*D$8</f>
        <v/>
      </c>
      <c r="E27" s="59">
        <f>Assumptions!$G$114*E$14*E$8</f>
        <v/>
      </c>
      <c r="F27" s="59">
        <f>Assumptions!$G$114*F$14*F$8</f>
        <v/>
      </c>
      <c r="G27" s="59">
        <f>Assumptions!$G$114*G$14*G$8</f>
        <v/>
      </c>
      <c r="H27" s="59">
        <f>Assumptions!$G$114*H$14*H$8</f>
        <v/>
      </c>
      <c r="I27" s="59">
        <f>Assumptions!$G$114*I$14*I$8</f>
        <v/>
      </c>
      <c r="J27" s="59">
        <f>Assumptions!$G$114*J$14*J$8</f>
        <v/>
      </c>
      <c r="K27" s="59">
        <f>Assumptions!$G$114*K$14*K$8</f>
        <v/>
      </c>
      <c r="L27" s="60">
        <f>Assumptions!$G$114*L$14*L$8</f>
        <v/>
      </c>
      <c r="M27" s="59">
        <f>SUM(B27:K27)</f>
        <v/>
      </c>
    </row>
    <row r="28">
      <c r="A28" s="37" t="inlineStr">
        <is>
          <t>Guests per program weekend (capped at beds installed)</t>
        </is>
      </c>
      <c r="B28" s="21">
        <f>MIN(Assumptions!$G$115,Assumptions!$G$18*B$20)</f>
        <v/>
      </c>
      <c r="C28" s="21">
        <f>MIN(Assumptions!$G$115,Assumptions!$G$18*C$20)</f>
        <v/>
      </c>
      <c r="D28" s="21">
        <f>MIN(Assumptions!$G$115,Assumptions!$G$18*D$20)</f>
        <v/>
      </c>
      <c r="E28" s="21">
        <f>MIN(Assumptions!$G$115,Assumptions!$G$18*E$20)</f>
        <v/>
      </c>
      <c r="F28" s="21">
        <f>MIN(Assumptions!$G$115,Assumptions!$G$18*F$20)</f>
        <v/>
      </c>
      <c r="G28" s="21">
        <f>MIN(Assumptions!$G$115,Assumptions!$G$18*G$20)</f>
        <v/>
      </c>
      <c r="H28" s="21">
        <f>MIN(Assumptions!$G$115,Assumptions!$G$18*H$20)</f>
        <v/>
      </c>
      <c r="I28" s="21">
        <f>MIN(Assumptions!$G$115,Assumptions!$G$18*I$20)</f>
        <v/>
      </c>
      <c r="J28" s="21">
        <f>MIN(Assumptions!$G$115,Assumptions!$G$18*J$20)</f>
        <v/>
      </c>
      <c r="K28" s="21">
        <f>MIN(Assumptions!$G$115,Assumptions!$G$18*K$20)</f>
        <v/>
      </c>
      <c r="L28" s="53">
        <f>MIN(Assumptions!$G$115,Assumptions!$G$18*L$20)</f>
        <v/>
      </c>
    </row>
    <row r="29">
      <c r="A29" s="37" t="inlineStr">
        <is>
          <t>Full-site takeovers</t>
        </is>
      </c>
      <c r="B29" s="59">
        <f>Assumptions!$G$118*B$14*B$8</f>
        <v/>
      </c>
      <c r="C29" s="59">
        <f>Assumptions!$G$118*C$14*C$8</f>
        <v/>
      </c>
      <c r="D29" s="59">
        <f>Assumptions!$G$118*D$14*D$8</f>
        <v/>
      </c>
      <c r="E29" s="59">
        <f>Assumptions!$G$118*E$14*E$8</f>
        <v/>
      </c>
      <c r="F29" s="59">
        <f>Assumptions!$G$118*F$14*F$8</f>
        <v/>
      </c>
      <c r="G29" s="59">
        <f>Assumptions!$G$118*G$14*G$8</f>
        <v/>
      </c>
      <c r="H29" s="59">
        <f>Assumptions!$G$118*H$14*H$8</f>
        <v/>
      </c>
      <c r="I29" s="59">
        <f>Assumptions!$G$118*I$14*I$8</f>
        <v/>
      </c>
      <c r="J29" s="59">
        <f>Assumptions!$G$118*J$14*J$8</f>
        <v/>
      </c>
      <c r="K29" s="59">
        <f>Assumptions!$G$118*K$14*K$8</f>
        <v/>
      </c>
      <c r="L29" s="60">
        <f>Assumptions!$G$118*L$14*L$8</f>
        <v/>
      </c>
      <c r="M29" s="59">
        <f>SUM(B29:K29)</f>
        <v/>
      </c>
    </row>
    <row r="30">
      <c r="A30" s="37" t="inlineStr">
        <is>
          <t>Performances</t>
        </is>
      </c>
      <c r="B30" s="59">
        <f>Assumptions!$G$123*B$14*B$8</f>
        <v/>
      </c>
      <c r="C30" s="59">
        <f>Assumptions!$G$123*C$14*C$8</f>
        <v/>
      </c>
      <c r="D30" s="59">
        <f>Assumptions!$G$123*D$14*D$8</f>
        <v/>
      </c>
      <c r="E30" s="59">
        <f>Assumptions!$G$123*E$14*E$8</f>
        <v/>
      </c>
      <c r="F30" s="59">
        <f>Assumptions!$G$123*F$14*F$8</f>
        <v/>
      </c>
      <c r="G30" s="59">
        <f>Assumptions!$G$123*G$14*G$8</f>
        <v/>
      </c>
      <c r="H30" s="59">
        <f>Assumptions!$G$123*H$14*H$8</f>
        <v/>
      </c>
      <c r="I30" s="59">
        <f>Assumptions!$G$123*I$14*I$8</f>
        <v/>
      </c>
      <c r="J30" s="59">
        <f>Assumptions!$G$123*J$14*J$8</f>
        <v/>
      </c>
      <c r="K30" s="59">
        <f>Assumptions!$G$123*K$14*K$8</f>
        <v/>
      </c>
      <c r="L30" s="60">
        <f>Assumptions!$G$123*L$14*L$8</f>
        <v/>
      </c>
      <c r="M30" s="59">
        <f>SUM(B30:K30)</f>
        <v/>
      </c>
    </row>
    <row r="31">
      <c r="A31" s="37" t="inlineStr">
        <is>
          <t>Large events (performances + takeovers)</t>
        </is>
      </c>
      <c r="B31" s="59">
        <f>B$29+B$30</f>
        <v/>
      </c>
      <c r="C31" s="59">
        <f>C$29+C$30</f>
        <v/>
      </c>
      <c r="D31" s="59">
        <f>D$29+D$30</f>
        <v/>
      </c>
      <c r="E31" s="59">
        <f>E$29+E$30</f>
        <v/>
      </c>
      <c r="F31" s="59">
        <f>F$29+F$30</f>
        <v/>
      </c>
      <c r="G31" s="59">
        <f>G$29+G$30</f>
        <v/>
      </c>
      <c r="H31" s="59">
        <f>H$29+H$30</f>
        <v/>
      </c>
      <c r="I31" s="59">
        <f>I$29+I$30</f>
        <v/>
      </c>
      <c r="J31" s="59">
        <f>J$29+J$30</f>
        <v/>
      </c>
      <c r="K31" s="59">
        <f>K$29+K$30</f>
        <v/>
      </c>
      <c r="L31" s="60">
        <f>L$29+L$30</f>
        <v/>
      </c>
      <c r="M31" s="59">
        <f>SUM(B31:K31)</f>
        <v/>
      </c>
    </row>
    <row r="32">
      <c r="A32" s="37" t="inlineStr">
        <is>
          <t>Cabin nights: retreat guests (inside the all-in retreat price)</t>
        </is>
      </c>
      <c r="B32" s="21">
        <f>B$26/Assumptions!$G$101</f>
        <v/>
      </c>
      <c r="C32" s="21">
        <f>C$26/Assumptions!$G$101</f>
        <v/>
      </c>
      <c r="D32" s="21">
        <f>D$26/Assumptions!$G$101</f>
        <v/>
      </c>
      <c r="E32" s="21">
        <f>E$26/Assumptions!$G$101</f>
        <v/>
      </c>
      <c r="F32" s="21">
        <f>F$26/Assumptions!$G$101</f>
        <v/>
      </c>
      <c r="G32" s="21">
        <f>G$26/Assumptions!$G$101</f>
        <v/>
      </c>
      <c r="H32" s="21">
        <f>H$26/Assumptions!$G$101</f>
        <v/>
      </c>
      <c r="I32" s="21">
        <f>I$26/Assumptions!$G$101</f>
        <v/>
      </c>
      <c r="J32" s="21">
        <f>J$26/Assumptions!$G$101</f>
        <v/>
      </c>
      <c r="K32" s="21">
        <f>K$26/Assumptions!$G$101</f>
        <v/>
      </c>
      <c r="L32" s="53">
        <f>L$26/Assumptions!$G$101</f>
        <v/>
      </c>
      <c r="M32" s="21">
        <f>SUM(B32:K32)</f>
        <v/>
      </c>
      <c r="N32" s="54" t="inlineStr">
        <is>
          <t>Counted in occupancy, supplies and utilization; not billed again</t>
        </is>
      </c>
    </row>
    <row r="33">
      <c r="A33" s="37" t="inlineStr">
        <is>
          <t>Cabin nights billed: program weekend guests</t>
        </is>
      </c>
      <c r="B33" s="21">
        <f>B$27*B$28*Assumptions!$G$116/Assumptions!$G$101</f>
        <v/>
      </c>
      <c r="C33" s="21">
        <f>C$27*C$28*Assumptions!$G$116/Assumptions!$G$101</f>
        <v/>
      </c>
      <c r="D33" s="21">
        <f>D$27*D$28*Assumptions!$G$116/Assumptions!$G$101</f>
        <v/>
      </c>
      <c r="E33" s="21">
        <f>E$27*E$28*Assumptions!$G$116/Assumptions!$G$101</f>
        <v/>
      </c>
      <c r="F33" s="21">
        <f>F$27*F$28*Assumptions!$G$116/Assumptions!$G$101</f>
        <v/>
      </c>
      <c r="G33" s="21">
        <f>G$27*G$28*Assumptions!$G$116/Assumptions!$G$101</f>
        <v/>
      </c>
      <c r="H33" s="21">
        <f>H$27*H$28*Assumptions!$G$116/Assumptions!$G$101</f>
        <v/>
      </c>
      <c r="I33" s="21">
        <f>I$27*I$28*Assumptions!$G$116/Assumptions!$G$101</f>
        <v/>
      </c>
      <c r="J33" s="21">
        <f>J$27*J$28*Assumptions!$G$116/Assumptions!$G$101</f>
        <v/>
      </c>
      <c r="K33" s="21">
        <f>K$27*K$28*Assumptions!$G$116/Assumptions!$G$101</f>
        <v/>
      </c>
      <c r="L33" s="53">
        <f>L$27*L$28*Assumptions!$G$116/Assumptions!$G$101</f>
        <v/>
      </c>
      <c r="M33" s="21">
        <f>SUM(B33:K33)</f>
        <v/>
      </c>
    </row>
    <row r="34">
      <c r="A34" s="37" t="inlineStr">
        <is>
          <t>Cabin nights billed: takeovers (whole site)</t>
        </is>
      </c>
      <c r="B34" s="21">
        <f>B$29*B$20*Assumptions!$G$121</f>
        <v/>
      </c>
      <c r="C34" s="21">
        <f>C$29*C$20*Assumptions!$G$121</f>
        <v/>
      </c>
      <c r="D34" s="21">
        <f>D$29*D$20*Assumptions!$G$121</f>
        <v/>
      </c>
      <c r="E34" s="21">
        <f>E$29*E$20*Assumptions!$G$121</f>
        <v/>
      </c>
      <c r="F34" s="21">
        <f>F$29*F$20*Assumptions!$G$121</f>
        <v/>
      </c>
      <c r="G34" s="21">
        <f>G$29*G$20*Assumptions!$G$121</f>
        <v/>
      </c>
      <c r="H34" s="21">
        <f>H$29*H$20*Assumptions!$G$121</f>
        <v/>
      </c>
      <c r="I34" s="21">
        <f>I$29*I$20*Assumptions!$G$121</f>
        <v/>
      </c>
      <c r="J34" s="21">
        <f>J$29*J$20*Assumptions!$G$121</f>
        <v/>
      </c>
      <c r="K34" s="21">
        <f>K$29*K$20*Assumptions!$G$121</f>
        <v/>
      </c>
      <c r="L34" s="53">
        <f>L$29*L$20*Assumptions!$G$121</f>
        <v/>
      </c>
      <c r="M34" s="21">
        <f>SUM(B34:K34)</f>
        <v/>
      </c>
    </row>
    <row r="35">
      <c r="A35" s="37" t="inlineStr">
        <is>
          <t>Cabin nights billed: public stays (not allowed in the Ojai Valley)</t>
        </is>
      </c>
      <c r="B35" s="21">
        <f>B$21*Assumptions!$G$100</f>
        <v/>
      </c>
      <c r="C35" s="21">
        <f>C$21*Assumptions!$G$100</f>
        <v/>
      </c>
      <c r="D35" s="21">
        <f>D$21*Assumptions!$G$100</f>
        <v/>
      </c>
      <c r="E35" s="21">
        <f>E$21*Assumptions!$G$100</f>
        <v/>
      </c>
      <c r="F35" s="21">
        <f>F$21*Assumptions!$G$100</f>
        <v/>
      </c>
      <c r="G35" s="21">
        <f>G$21*Assumptions!$G$100</f>
        <v/>
      </c>
      <c r="H35" s="21">
        <f>H$21*Assumptions!$G$100</f>
        <v/>
      </c>
      <c r="I35" s="21">
        <f>I$21*Assumptions!$G$100</f>
        <v/>
      </c>
      <c r="J35" s="21">
        <f>J$21*Assumptions!$G$100</f>
        <v/>
      </c>
      <c r="K35" s="21">
        <f>K$21*Assumptions!$G$100</f>
        <v/>
      </c>
      <c r="L35" s="53">
        <f>L$21*Assumptions!$G$100</f>
        <v/>
      </c>
      <c r="M35" s="21">
        <f>SUM(B35:K35)</f>
        <v/>
      </c>
    </row>
    <row r="36">
      <c r="A36" s="37" t="inlineStr">
        <is>
          <t>Cabin nights billed at the nightly rate (weekends, takeovers)</t>
        </is>
      </c>
      <c r="B36" s="21">
        <f>B$33+B$34+B$35</f>
        <v/>
      </c>
      <c r="C36" s="21">
        <f>C$33+C$34+C$35</f>
        <v/>
      </c>
      <c r="D36" s="21">
        <f>D$33+D$34+D$35</f>
        <v/>
      </c>
      <c r="E36" s="21">
        <f>E$33+E$34+E$35</f>
        <v/>
      </c>
      <c r="F36" s="21">
        <f>F$33+F$34+F$35</f>
        <v/>
      </c>
      <c r="G36" s="21">
        <f>G$33+G$34+G$35</f>
        <v/>
      </c>
      <c r="H36" s="21">
        <f>H$33+H$34+H$35</f>
        <v/>
      </c>
      <c r="I36" s="21">
        <f>I$33+I$34+I$35</f>
        <v/>
      </c>
      <c r="J36" s="21">
        <f>J$33+J$34+J$35</f>
        <v/>
      </c>
      <c r="K36" s="21">
        <f>K$33+K$34+K$35</f>
        <v/>
      </c>
      <c r="L36" s="53">
        <f>L$33+L$34+L$35</f>
        <v/>
      </c>
      <c r="M36" s="21">
        <f>SUM(B36:K36)</f>
        <v/>
      </c>
    </row>
    <row r="37">
      <c r="A37" s="37" t="inlineStr">
        <is>
          <t>Paid cabin nights (program guests, incl. retreats)</t>
        </is>
      </c>
      <c r="B37" s="21">
        <f>B$32+B$36</f>
        <v/>
      </c>
      <c r="C37" s="21">
        <f>C$32+C$36</f>
        <v/>
      </c>
      <c r="D37" s="21">
        <f>D$32+D$36</f>
        <v/>
      </c>
      <c r="E37" s="21">
        <f>E$32+E$36</f>
        <v/>
      </c>
      <c r="F37" s="21">
        <f>F$32+F$36</f>
        <v/>
      </c>
      <c r="G37" s="21">
        <f>G$32+G$36</f>
        <v/>
      </c>
      <c r="H37" s="21">
        <f>H$32+H$36</f>
        <v/>
      </c>
      <c r="I37" s="21">
        <f>I$32+I$36</f>
        <v/>
      </c>
      <c r="J37" s="21">
        <f>J$32+J$36</f>
        <v/>
      </c>
      <c r="K37" s="21">
        <f>K$32+K$36</f>
        <v/>
      </c>
      <c r="L37" s="53">
        <f>L$32+L$36</f>
        <v/>
      </c>
      <c r="M37" s="21">
        <f>SUM(B37:K37)</f>
        <v/>
      </c>
    </row>
    <row r="38">
      <c r="A38" s="37" t="inlineStr">
        <is>
          <t>Paid occupancy (program guests)</t>
        </is>
      </c>
      <c r="B38" s="55">
        <f>IF(B$21&gt;0,B$37/B$21,0)</f>
        <v/>
      </c>
      <c r="C38" s="55">
        <f>IF(C$21&gt;0,C$37/C$21,0)</f>
        <v/>
      </c>
      <c r="D38" s="55">
        <f>IF(D$21&gt;0,D$37/D$21,0)</f>
        <v/>
      </c>
      <c r="E38" s="55">
        <f>IF(E$21&gt;0,E$37/E$21,0)</f>
        <v/>
      </c>
      <c r="F38" s="55">
        <f>IF(F$21&gt;0,F$37/F$21,0)</f>
        <v/>
      </c>
      <c r="G38" s="55">
        <f>IF(G$21&gt;0,G$37/G$21,0)</f>
        <v/>
      </c>
      <c r="H38" s="55">
        <f>IF(H$21&gt;0,H$37/H$21,0)</f>
        <v/>
      </c>
      <c r="I38" s="55">
        <f>IF(I$21&gt;0,I$37/I$21,0)</f>
        <v/>
      </c>
      <c r="J38" s="55">
        <f>IF(J$21&gt;0,J$37/J$21,0)</f>
        <v/>
      </c>
      <c r="K38" s="55">
        <f>IF(K$21&gt;0,K$37/K$21,0)</f>
        <v/>
      </c>
      <c r="L38" s="56">
        <f>IF(L$21&gt;0,L$37/L$21,0)</f>
        <v/>
      </c>
      <c r="N38" s="54" t="inlineStr">
        <is>
          <t>Program guests only, incl. retreats: no public short-term rentals (TRU overlay)</t>
        </is>
      </c>
    </row>
    <row r="39">
      <c r="A39" s="37" t="inlineStr">
        <is>
          <t>Occupied cabin nights (paid + residency)</t>
        </is>
      </c>
      <c r="B39" s="21">
        <f>B$37+B$23</f>
        <v/>
      </c>
      <c r="C39" s="21">
        <f>C$37+C$23</f>
        <v/>
      </c>
      <c r="D39" s="21">
        <f>D$37+D$23</f>
        <v/>
      </c>
      <c r="E39" s="21">
        <f>E$37+E$23</f>
        <v/>
      </c>
      <c r="F39" s="21">
        <f>F$37+F$23</f>
        <v/>
      </c>
      <c r="G39" s="21">
        <f>G$37+G$23</f>
        <v/>
      </c>
      <c r="H39" s="21">
        <f>H$37+H$23</f>
        <v/>
      </c>
      <c r="I39" s="21">
        <f>I$37+I$23</f>
        <v/>
      </c>
      <c r="J39" s="21">
        <f>J$37+J$23</f>
        <v/>
      </c>
      <c r="K39" s="21">
        <f>K$37+K$23</f>
        <v/>
      </c>
      <c r="L39" s="53">
        <f>L$37+L$23</f>
        <v/>
      </c>
      <c r="M39" s="21">
        <f>SUM(B39:K39)</f>
        <v/>
      </c>
    </row>
    <row r="40">
      <c r="A40" s="37" t="inlineStr">
        <is>
          <t>Utilization (occupied / available)</t>
        </is>
      </c>
      <c r="B40" s="55">
        <f>IF(B$21&gt;0,B$39/B$21,0)</f>
        <v/>
      </c>
      <c r="C40" s="55">
        <f>IF(C$21&gt;0,C$39/C$21,0)</f>
        <v/>
      </c>
      <c r="D40" s="55">
        <f>IF(D$21&gt;0,D$39/D$21,0)</f>
        <v/>
      </c>
      <c r="E40" s="55">
        <f>IF(E$21&gt;0,E$39/E$21,0)</f>
        <v/>
      </c>
      <c r="F40" s="55">
        <f>IF(F$21&gt;0,F$39/F$21,0)</f>
        <v/>
      </c>
      <c r="G40" s="55">
        <f>IF(G$21&gt;0,G$39/G$21,0)</f>
        <v/>
      </c>
      <c r="H40" s="55">
        <f>IF(H$21&gt;0,H$39/H$21,0)</f>
        <v/>
      </c>
      <c r="I40" s="55">
        <f>IF(I$21&gt;0,I$39/I$21,0)</f>
        <v/>
      </c>
      <c r="J40" s="55">
        <f>IF(J$21&gt;0,J$39/J$21,0)</f>
        <v/>
      </c>
      <c r="K40" s="55">
        <f>IF(K$21&gt;0,K$39/K$21,0)</f>
        <v/>
      </c>
      <c r="L40" s="56">
        <f>IF(L$21&gt;0,L$39/L$21,0)</f>
        <v/>
      </c>
    </row>
    <row r="41">
      <c r="A41" s="37" t="inlineStr">
        <is>
          <t>Staff in service (FTE)</t>
        </is>
      </c>
      <c r="B41" s="59">
        <f>Assumptions!$G$198*B$8+Assumptions!$G$200*B$8+Assumptions!$G$202*B$8+Assumptions!$G$204*B$8+Assumptions!$G$206*B$8+Assumptions!$G$208*B$8+Assumptions!$G$210*B$8+Assumptions!$G$212*B$8</f>
        <v/>
      </c>
      <c r="C41" s="59">
        <f>Assumptions!$G$198*C$8+Assumptions!$G$200*C$8+Assumptions!$G$202*C$8+Assumptions!$G$204*C$8+Assumptions!$G$206*C$8+Assumptions!$G$208*C$8+Assumptions!$G$210*C$8+Assumptions!$G$212*C$8</f>
        <v/>
      </c>
      <c r="D41" s="59">
        <f>Assumptions!$G$198*D$8+Assumptions!$G$200*D$8+Assumptions!$G$202*D$8+Assumptions!$G$204*D$8+Assumptions!$G$206*D$8+Assumptions!$G$208*D$8+Assumptions!$G$210*D$8+Assumptions!$G$212*D$8</f>
        <v/>
      </c>
      <c r="E41" s="59">
        <f>Assumptions!$G$198*E$8+Assumptions!$G$200*E$8+Assumptions!$G$202*E$8+Assumptions!$G$204*E$8+Assumptions!$G$206*E$8+Assumptions!$G$208*E$8+Assumptions!$G$210*E$8+Assumptions!$G$212*E$8</f>
        <v/>
      </c>
      <c r="F41" s="59">
        <f>Assumptions!$G$198*F$8+Assumptions!$G$200*F$8+Assumptions!$G$202*F$8+Assumptions!$G$204*F$8+Assumptions!$G$206*F$8+Assumptions!$G$208*F$8+Assumptions!$G$210*F$8+Assumptions!$G$212*F$8</f>
        <v/>
      </c>
      <c r="G41" s="59">
        <f>Assumptions!$G$198*G$8+Assumptions!$G$200*G$8+Assumptions!$G$202*G$8+Assumptions!$G$204*G$8+Assumptions!$G$206*G$8+Assumptions!$G$208*G$8+Assumptions!$G$210*G$8+Assumptions!$G$212*G$8</f>
        <v/>
      </c>
      <c r="H41" s="59">
        <f>Assumptions!$G$198*H$8+Assumptions!$G$200*H$8+Assumptions!$G$202*H$8+Assumptions!$G$204*H$8+Assumptions!$G$206*H$8+Assumptions!$G$208*H$8+Assumptions!$G$210*H$8+Assumptions!$G$212*H$8</f>
        <v/>
      </c>
      <c r="I41" s="59">
        <f>Assumptions!$G$198*I$8+Assumptions!$G$200*I$8+Assumptions!$G$202*I$8+Assumptions!$G$204*I$8+Assumptions!$G$206*I$8+Assumptions!$G$208*I$8+Assumptions!$G$210*I$8+Assumptions!$G$212*I$8</f>
        <v/>
      </c>
      <c r="J41" s="59">
        <f>Assumptions!$G$198*J$8+Assumptions!$G$200*J$8+Assumptions!$G$202*J$8+Assumptions!$G$204*J$8+Assumptions!$G$206*J$8+Assumptions!$G$208*J$8+Assumptions!$G$210*J$8+Assumptions!$G$212*J$8</f>
        <v/>
      </c>
      <c r="K41" s="59">
        <f>Assumptions!$G$198*K$8+Assumptions!$G$200*K$8+Assumptions!$G$202*K$8+Assumptions!$G$204*K$8+Assumptions!$G$206*K$8+Assumptions!$G$208*K$8+Assumptions!$G$210*K$8+Assumptions!$G$212*K$8</f>
        <v/>
      </c>
      <c r="L41" s="60">
        <f>Assumptions!$G$198*L$8+Assumptions!$G$200*L$8+Assumptions!$G$202*L$8+Assumptions!$G$204*L$8+Assumptions!$G$206*L$8+Assumptions!$G$208*L$8+Assumptions!$G$210*L$8+Assumptions!$G$212*L$8</f>
        <v/>
      </c>
      <c r="N41" s="54" t="inlineStr">
        <is>
          <t>Our core team on the Assumptions sheet</t>
        </is>
      </c>
    </row>
    <row r="42">
      <c r="A42" s="37" t="inlineStr">
        <is>
          <t>Land held at cost</t>
        </is>
      </c>
      <c r="B42" s="21">
        <f>Assumptions!$G$34*B$13</f>
        <v/>
      </c>
      <c r="C42" s="21">
        <f>Assumptions!$G$34*C$13</f>
        <v/>
      </c>
      <c r="D42" s="21">
        <f>Assumptions!$G$34*D$13</f>
        <v/>
      </c>
      <c r="E42" s="21">
        <f>Assumptions!$G$34*E$13</f>
        <v/>
      </c>
      <c r="F42" s="21">
        <f>Assumptions!$G$34*F$13</f>
        <v/>
      </c>
      <c r="G42" s="21">
        <f>Assumptions!$G$34*G$13</f>
        <v/>
      </c>
      <c r="H42" s="21">
        <f>Assumptions!$G$34*H$13</f>
        <v/>
      </c>
      <c r="I42" s="21">
        <f>Assumptions!$G$34*I$13</f>
        <v/>
      </c>
      <c r="J42" s="21">
        <f>Assumptions!$G$34*J$13</f>
        <v/>
      </c>
      <c r="K42" s="21">
        <f>Assumptions!$G$34*K$13</f>
        <v/>
      </c>
      <c r="L42" s="53">
        <f>Assumptions!$G$34*L$13</f>
        <v/>
      </c>
    </row>
    <row r="43">
      <c r="A43" s="37" t="inlineStr">
        <is>
          <t>Replacement value in service (insured, maintained)</t>
        </is>
      </c>
      <c r="B43" s="21">
        <f>'Sources &amp; Uses'!$F$70*B$8+'Sources &amp; Uses'!$F$71*B$9+'Sources &amp; Uses'!$F$72*B$10</f>
        <v/>
      </c>
      <c r="C43" s="21">
        <f>'Sources &amp; Uses'!$F$70*C$8+'Sources &amp; Uses'!$F$71*C$9+'Sources &amp; Uses'!$F$72*C$10</f>
        <v/>
      </c>
      <c r="D43" s="21">
        <f>'Sources &amp; Uses'!$F$70*D$8+'Sources &amp; Uses'!$F$71*D$9+'Sources &amp; Uses'!$F$72*D$10</f>
        <v/>
      </c>
      <c r="E43" s="21">
        <f>'Sources &amp; Uses'!$F$70*E$8+'Sources &amp; Uses'!$F$71*E$9+'Sources &amp; Uses'!$F$72*E$10</f>
        <v/>
      </c>
      <c r="F43" s="21">
        <f>'Sources &amp; Uses'!$F$70*F$8+'Sources &amp; Uses'!$F$71*F$9+'Sources &amp; Uses'!$F$72*F$10</f>
        <v/>
      </c>
      <c r="G43" s="21">
        <f>'Sources &amp; Uses'!$F$70*G$8+'Sources &amp; Uses'!$F$71*G$9+'Sources &amp; Uses'!$F$72*G$10</f>
        <v/>
      </c>
      <c r="H43" s="21">
        <f>'Sources &amp; Uses'!$F$70*H$8+'Sources &amp; Uses'!$F$71*H$9+'Sources &amp; Uses'!$F$72*H$10</f>
        <v/>
      </c>
      <c r="I43" s="21">
        <f>'Sources &amp; Uses'!$F$70*I$8+'Sources &amp; Uses'!$F$71*I$9+'Sources &amp; Uses'!$F$72*I$10</f>
        <v/>
      </c>
      <c r="J43" s="21">
        <f>'Sources &amp; Uses'!$F$70*J$8+'Sources &amp; Uses'!$F$71*J$9+'Sources &amp; Uses'!$F$72*J$10</f>
        <v/>
      </c>
      <c r="K43" s="21">
        <f>'Sources &amp; Uses'!$F$70*K$8+'Sources &amp; Uses'!$F$71*K$9+'Sources &amp; Uses'!$F$72*K$10</f>
        <v/>
      </c>
      <c r="L43" s="53">
        <f>'Sources &amp; Uses'!$F$70*L$8+'Sources &amp; Uses'!$F$71*L$9+'Sources &amp; Uses'!$F$72*L$10</f>
        <v/>
      </c>
    </row>
    <row r="44">
      <c r="A44" s="37" t="inlineStr">
        <is>
          <t>Assessed value (land + capitalized cost in service)</t>
        </is>
      </c>
      <c r="B44" s="21">
        <f>B$42+'Sources &amp; Uses'!$F$73*B$8+'Sources &amp; Uses'!$F$74*B$9+'Sources &amp; Uses'!$F$75*B$10</f>
        <v/>
      </c>
      <c r="C44" s="21">
        <f>C$42+'Sources &amp; Uses'!$F$73*C$8+'Sources &amp; Uses'!$F$74*C$9+'Sources &amp; Uses'!$F$75*C$10</f>
        <v/>
      </c>
      <c r="D44" s="21">
        <f>D$42+'Sources &amp; Uses'!$F$73*D$8+'Sources &amp; Uses'!$F$74*D$9+'Sources &amp; Uses'!$F$75*D$10</f>
        <v/>
      </c>
      <c r="E44" s="21">
        <f>E$42+'Sources &amp; Uses'!$F$73*E$8+'Sources &amp; Uses'!$F$74*E$9+'Sources &amp; Uses'!$F$75*E$10</f>
        <v/>
      </c>
      <c r="F44" s="21">
        <f>F$42+'Sources &amp; Uses'!$F$73*F$8+'Sources &amp; Uses'!$F$74*F$9+'Sources &amp; Uses'!$F$75*F$10</f>
        <v/>
      </c>
      <c r="G44" s="21">
        <f>G$42+'Sources &amp; Uses'!$F$73*G$8+'Sources &amp; Uses'!$F$74*G$9+'Sources &amp; Uses'!$F$75*G$10</f>
        <v/>
      </c>
      <c r="H44" s="21">
        <f>H$42+'Sources &amp; Uses'!$F$73*H$8+'Sources &amp; Uses'!$F$74*H$9+'Sources &amp; Uses'!$F$75*H$10</f>
        <v/>
      </c>
      <c r="I44" s="21">
        <f>I$42+'Sources &amp; Uses'!$F$73*I$8+'Sources &amp; Uses'!$F$74*I$9+'Sources &amp; Uses'!$F$75*I$10</f>
        <v/>
      </c>
      <c r="J44" s="21">
        <f>J$42+'Sources &amp; Uses'!$F$73*J$8+'Sources &amp; Uses'!$F$74*J$9+'Sources &amp; Uses'!$F$75*J$10</f>
        <v/>
      </c>
      <c r="K44" s="21">
        <f>K$42+'Sources &amp; Uses'!$F$73*K$8+'Sources &amp; Uses'!$F$74*K$9+'Sources &amp; Uses'!$F$75*K$10</f>
        <v/>
      </c>
      <c r="L44" s="53">
        <f>L$42+'Sources &amp; Uses'!$F$73*L$8+'Sources &amp; Uses'!$F$74*L$9+'Sources &amp; Uses'!$F$75*L$10</f>
        <v/>
      </c>
    </row>
    <row r="45">
      <c r="A45" s="7" t="inlineStr">
        <is>
          <t>EARNED REVENUE</t>
        </is>
      </c>
      <c r="B45" s="8" t="n"/>
      <c r="C45" s="8" t="n"/>
      <c r="D45" s="8" t="n"/>
      <c r="E45" s="8" t="n"/>
      <c r="F45" s="8" t="n"/>
      <c r="G45" s="8" t="n"/>
      <c r="H45" s="8" t="n"/>
      <c r="I45" s="8" t="n"/>
      <c r="J45" s="8" t="n"/>
      <c r="K45" s="8" t="n"/>
      <c r="L45" s="8" t="n"/>
      <c r="M45" s="8" t="n"/>
      <c r="N45" s="8" t="n"/>
    </row>
    <row r="46">
      <c r="A46" s="37" t="inlineStr">
        <is>
          <t>Cabin nights billed for program weekends and takeovers (lodging, before 8% TOT)</t>
        </is>
      </c>
      <c r="B46" s="21">
        <f>B$36*Assumptions!$G$99*B$18</f>
        <v/>
      </c>
      <c r="C46" s="21">
        <f>C$36*Assumptions!$G$99*C$18</f>
        <v/>
      </c>
      <c r="D46" s="21">
        <f>D$36*Assumptions!$G$99*D$18</f>
        <v/>
      </c>
      <c r="E46" s="21">
        <f>E$36*Assumptions!$G$99*E$18</f>
        <v/>
      </c>
      <c r="F46" s="21">
        <f>F$36*Assumptions!$G$99*F$18</f>
        <v/>
      </c>
      <c r="G46" s="21">
        <f>G$36*Assumptions!$G$99*G$18</f>
        <v/>
      </c>
      <c r="H46" s="21">
        <f>H$36*Assumptions!$G$99*H$18</f>
        <v/>
      </c>
      <c r="I46" s="21">
        <f>I$36*Assumptions!$G$99*I$18</f>
        <v/>
      </c>
      <c r="J46" s="21">
        <f>J$36*Assumptions!$G$99*J$18</f>
        <v/>
      </c>
      <c r="K46" s="21">
        <f>K$36*Assumptions!$G$99*K$18</f>
        <v/>
      </c>
      <c r="L46" s="53">
        <f>L$36*Assumptions!$G$99*L$18</f>
        <v/>
      </c>
      <c r="M46" s="21">
        <f>SUM(B46:K46)</f>
        <v/>
      </c>
      <c r="N46" s="54" t="inlineStr">
        <is>
          <t>Weekend and takeover nights only; 8% TOT collected on top (memo)</t>
        </is>
      </c>
    </row>
    <row r="47">
      <c r="A47" s="37" t="inlineStr">
        <is>
          <t>Food and beverage (weekend and takeover guests, performance bar, takeover catering)</t>
        </is>
      </c>
      <c r="B47" s="21">
        <f>(B$36*Assumptions!$G$101*Assumptions!$G$102+B$30*Assumptions!$G$124*Assumptions!$G$127+B$29*Assumptions!$G$120*Assumptions!$G$121*Assumptions!$G$122)*B$18</f>
        <v/>
      </c>
      <c r="C47" s="21">
        <f>(C$36*Assumptions!$G$101*Assumptions!$G$102+C$30*Assumptions!$G$124*Assumptions!$G$127+C$29*Assumptions!$G$120*Assumptions!$G$121*Assumptions!$G$122)*C$18</f>
        <v/>
      </c>
      <c r="D47" s="21">
        <f>(D$36*Assumptions!$G$101*Assumptions!$G$102+D$30*Assumptions!$G$124*Assumptions!$G$127+D$29*Assumptions!$G$120*Assumptions!$G$121*Assumptions!$G$122)*D$18</f>
        <v/>
      </c>
      <c r="E47" s="21">
        <f>(E$36*Assumptions!$G$101*Assumptions!$G$102+E$30*Assumptions!$G$124*Assumptions!$G$127+E$29*Assumptions!$G$120*Assumptions!$G$121*Assumptions!$G$122)*E$18</f>
        <v/>
      </c>
      <c r="F47" s="21">
        <f>(F$36*Assumptions!$G$101*Assumptions!$G$102+F$30*Assumptions!$G$124*Assumptions!$G$127+F$29*Assumptions!$G$120*Assumptions!$G$121*Assumptions!$G$122)*F$18</f>
        <v/>
      </c>
      <c r="G47" s="21">
        <f>(G$36*Assumptions!$G$101*Assumptions!$G$102+G$30*Assumptions!$G$124*Assumptions!$G$127+G$29*Assumptions!$G$120*Assumptions!$G$121*Assumptions!$G$122)*G$18</f>
        <v/>
      </c>
      <c r="H47" s="21">
        <f>(H$36*Assumptions!$G$101*Assumptions!$G$102+H$30*Assumptions!$G$124*Assumptions!$G$127+H$29*Assumptions!$G$120*Assumptions!$G$121*Assumptions!$G$122)*H$18</f>
        <v/>
      </c>
      <c r="I47" s="21">
        <f>(I$36*Assumptions!$G$101*Assumptions!$G$102+I$30*Assumptions!$G$124*Assumptions!$G$127+I$29*Assumptions!$G$120*Assumptions!$G$121*Assumptions!$G$122)*I$18</f>
        <v/>
      </c>
      <c r="J47" s="21">
        <f>(J$36*Assumptions!$G$101*Assumptions!$G$102+J$30*Assumptions!$G$124*Assumptions!$G$127+J$29*Assumptions!$G$120*Assumptions!$G$121*Assumptions!$G$122)*J$18</f>
        <v/>
      </c>
      <c r="K47" s="21">
        <f>(K$36*Assumptions!$G$101*Assumptions!$G$102+K$30*Assumptions!$G$124*Assumptions!$G$127+K$29*Assumptions!$G$120*Assumptions!$G$121*Assumptions!$G$122)*K$18</f>
        <v/>
      </c>
      <c r="L47" s="53">
        <f>(L$36*Assumptions!$G$101*Assumptions!$G$102+L$30*Assumptions!$G$124*Assumptions!$G$127+L$29*Assumptions!$G$120*Assumptions!$G$121*Assumptions!$G$122)*L$18</f>
        <v/>
      </c>
      <c r="M47" s="21">
        <f>SUM(B47:K47)</f>
        <v/>
      </c>
      <c r="N47" s="54" t="inlineStr">
        <is>
          <t>Retreat meals sit inside the all-in retreat price</t>
        </is>
      </c>
    </row>
    <row r="48">
      <c r="A48" s="37" t="inlineStr">
        <is>
          <t>Retreats (all-in price: lodging, meals and program)</t>
        </is>
      </c>
      <c r="B48" s="21">
        <f>B$24*B$25*Assumptions!$G$113*B$18</f>
        <v/>
      </c>
      <c r="C48" s="21">
        <f>C$24*C$25*Assumptions!$G$113*C$18</f>
        <v/>
      </c>
      <c r="D48" s="21">
        <f>D$24*D$25*Assumptions!$G$113*D$18</f>
        <v/>
      </c>
      <c r="E48" s="21">
        <f>E$24*E$25*Assumptions!$G$113*E$18</f>
        <v/>
      </c>
      <c r="F48" s="21">
        <f>F$24*F$25*Assumptions!$G$113*F$18</f>
        <v/>
      </c>
      <c r="G48" s="21">
        <f>G$24*G$25*Assumptions!$G$113*G$18</f>
        <v/>
      </c>
      <c r="H48" s="21">
        <f>H$24*H$25*Assumptions!$G$113*H$18</f>
        <v/>
      </c>
      <c r="I48" s="21">
        <f>I$24*I$25*Assumptions!$G$113*I$18</f>
        <v/>
      </c>
      <c r="J48" s="21">
        <f>J$24*J$25*Assumptions!$G$113*J$18</f>
        <v/>
      </c>
      <c r="K48" s="21">
        <f>K$24*K$25*Assumptions!$G$113*K$18</f>
        <v/>
      </c>
      <c r="L48" s="53">
        <f>L$24*L$25*Assumptions!$G$113*L$18</f>
        <v/>
      </c>
      <c r="M48" s="21">
        <f>SUM(B48:K48)</f>
        <v/>
      </c>
      <c r="N48" s="54" t="inlineStr">
        <is>
          <t>All-in USD 3,500 per guest (planning target, 14 Oct 2026): lodging, meals and program</t>
        </is>
      </c>
    </row>
    <row r="49">
      <c r="A49" s="37" t="inlineStr">
        <is>
          <t>Program weekends (program fees)</t>
        </is>
      </c>
      <c r="B49" s="21">
        <f>B$27*B$28*Assumptions!$G$116*Assumptions!$G$117*B$18</f>
        <v/>
      </c>
      <c r="C49" s="21">
        <f>C$27*C$28*Assumptions!$G$116*Assumptions!$G$117*C$18</f>
        <v/>
      </c>
      <c r="D49" s="21">
        <f>D$27*D$28*Assumptions!$G$116*Assumptions!$G$117*D$18</f>
        <v/>
      </c>
      <c r="E49" s="21">
        <f>E$27*E$28*Assumptions!$G$116*Assumptions!$G$117*E$18</f>
        <v/>
      </c>
      <c r="F49" s="21">
        <f>F$27*F$28*Assumptions!$G$116*Assumptions!$G$117*F$18</f>
        <v/>
      </c>
      <c r="G49" s="21">
        <f>G$27*G$28*Assumptions!$G$116*Assumptions!$G$117*G$18</f>
        <v/>
      </c>
      <c r="H49" s="21">
        <f>H$27*H$28*Assumptions!$G$116*Assumptions!$G$117*H$18</f>
        <v/>
      </c>
      <c r="I49" s="21">
        <f>I$27*I$28*Assumptions!$G$116*Assumptions!$G$117*I$18</f>
        <v/>
      </c>
      <c r="J49" s="21">
        <f>J$27*J$28*Assumptions!$G$116*Assumptions!$G$117*J$18</f>
        <v/>
      </c>
      <c r="K49" s="21">
        <f>K$27*K$28*Assumptions!$G$116*Assumptions!$G$117*K$18</f>
        <v/>
      </c>
      <c r="L49" s="53">
        <f>L$27*L$28*Assumptions!$G$116*Assumptions!$G$117*L$18</f>
        <v/>
      </c>
      <c r="M49" s="21">
        <f>SUM(B49:K49)</f>
        <v/>
      </c>
    </row>
    <row r="50">
      <c r="A50" s="37" t="inlineStr">
        <is>
          <t>Full-site takeovers (site fees)</t>
        </is>
      </c>
      <c r="B50" s="21">
        <f>B$29*Assumptions!$G$119*B$18</f>
        <v/>
      </c>
      <c r="C50" s="21">
        <f>C$29*Assumptions!$G$119*C$18</f>
        <v/>
      </c>
      <c r="D50" s="21">
        <f>D$29*Assumptions!$G$119*D$18</f>
        <v/>
      </c>
      <c r="E50" s="21">
        <f>E$29*Assumptions!$G$119*E$18</f>
        <v/>
      </c>
      <c r="F50" s="21">
        <f>F$29*Assumptions!$G$119*F$18</f>
        <v/>
      </c>
      <c r="G50" s="21">
        <f>G$29*Assumptions!$G$119*G$18</f>
        <v/>
      </c>
      <c r="H50" s="21">
        <f>H$29*Assumptions!$G$119*H$18</f>
        <v/>
      </c>
      <c r="I50" s="21">
        <f>I$29*Assumptions!$G$119*I$18</f>
        <v/>
      </c>
      <c r="J50" s="21">
        <f>J$29*Assumptions!$G$119*J$18</f>
        <v/>
      </c>
      <c r="K50" s="21">
        <f>K$29*Assumptions!$G$119*K$18</f>
        <v/>
      </c>
      <c r="L50" s="53">
        <f>L$29*Assumptions!$G$119*L$18</f>
        <v/>
      </c>
      <c r="M50" s="21">
        <f>SUM(B50:K50)</f>
        <v/>
      </c>
    </row>
    <row r="51">
      <c r="A51" s="37" t="inlineStr">
        <is>
          <t>Paid residencies (label or artist funded)</t>
        </is>
      </c>
      <c r="B51" s="21">
        <f>B$22*Assumptions!$G$108*Assumptions!$G$109*B$18</f>
        <v/>
      </c>
      <c r="C51" s="21">
        <f>C$22*Assumptions!$G$108*Assumptions!$G$109*C$18</f>
        <v/>
      </c>
      <c r="D51" s="21">
        <f>D$22*Assumptions!$G$108*Assumptions!$G$109*D$18</f>
        <v/>
      </c>
      <c r="E51" s="21">
        <f>E$22*Assumptions!$G$108*Assumptions!$G$109*E$18</f>
        <v/>
      </c>
      <c r="F51" s="21">
        <f>F$22*Assumptions!$G$108*Assumptions!$G$109*F$18</f>
        <v/>
      </c>
      <c r="G51" s="21">
        <f>G$22*Assumptions!$G$108*Assumptions!$G$109*G$18</f>
        <v/>
      </c>
      <c r="H51" s="21">
        <f>H$22*Assumptions!$G$108*Assumptions!$G$109*H$18</f>
        <v/>
      </c>
      <c r="I51" s="21">
        <f>I$22*Assumptions!$G$108*Assumptions!$G$109*I$18</f>
        <v/>
      </c>
      <c r="J51" s="21">
        <f>J$22*Assumptions!$G$108*Assumptions!$G$109*J$18</f>
        <v/>
      </c>
      <c r="K51" s="21">
        <f>K$22*Assumptions!$G$108*Assumptions!$G$109*K$18</f>
        <v/>
      </c>
      <c r="L51" s="53">
        <f>L$22*Assumptions!$G$108*Assumptions!$G$109*L$18</f>
        <v/>
      </c>
      <c r="M51" s="21">
        <f>SUM(B51:K51)</f>
        <v/>
      </c>
    </row>
    <row r="52">
      <c r="A52" s="37" t="inlineStr">
        <is>
          <t>Performances (tickets)</t>
        </is>
      </c>
      <c r="B52" s="21">
        <f>B$30*Assumptions!$G$124*Assumptions!$G$125*Assumptions!$G$126*B$18</f>
        <v/>
      </c>
      <c r="C52" s="21">
        <f>C$30*Assumptions!$G$124*Assumptions!$G$125*Assumptions!$G$126*C$18</f>
        <v/>
      </c>
      <c r="D52" s="21">
        <f>D$30*Assumptions!$G$124*Assumptions!$G$125*Assumptions!$G$126*D$18</f>
        <v/>
      </c>
      <c r="E52" s="21">
        <f>E$30*Assumptions!$G$124*Assumptions!$G$125*Assumptions!$G$126*E$18</f>
        <v/>
      </c>
      <c r="F52" s="21">
        <f>F$30*Assumptions!$G$124*Assumptions!$G$125*Assumptions!$G$126*F$18</f>
        <v/>
      </c>
      <c r="G52" s="21">
        <f>G$30*Assumptions!$G$124*Assumptions!$G$125*Assumptions!$G$126*G$18</f>
        <v/>
      </c>
      <c r="H52" s="21">
        <f>H$30*Assumptions!$G$124*Assumptions!$G$125*Assumptions!$G$126*H$18</f>
        <v/>
      </c>
      <c r="I52" s="21">
        <f>I$30*Assumptions!$G$124*Assumptions!$G$125*Assumptions!$G$126*I$18</f>
        <v/>
      </c>
      <c r="J52" s="21">
        <f>J$30*Assumptions!$G$124*Assumptions!$G$125*Assumptions!$G$126*J$18</f>
        <v/>
      </c>
      <c r="K52" s="21">
        <f>K$30*Assumptions!$G$124*Assumptions!$G$125*Assumptions!$G$126*K$18</f>
        <v/>
      </c>
      <c r="L52" s="53">
        <f>L$30*Assumptions!$G$124*Assumptions!$G$125*Assumptions!$G$126*L$18</f>
        <v/>
      </c>
      <c r="M52" s="21">
        <f>SUM(B52:K52)</f>
        <v/>
      </c>
      <c r="N52" s="54" t="inlineStr">
        <is>
          <t>150 seats x USD 80, every seat paid (planning target, 14 Oct 2026)</t>
        </is>
      </c>
    </row>
    <row r="53">
      <c r="A53" s="37" t="inlineStr">
        <is>
          <t>Membership</t>
        </is>
      </c>
      <c r="B53" s="21">
        <f>Assumptions!$G$132*Assumptions!$G$133*B$14*B$18</f>
        <v/>
      </c>
      <c r="C53" s="21">
        <f>Assumptions!$G$132*Assumptions!$G$133*C$14*C$18</f>
        <v/>
      </c>
      <c r="D53" s="21">
        <f>Assumptions!$G$132*Assumptions!$G$133*D$14*D$18</f>
        <v/>
      </c>
      <c r="E53" s="21">
        <f>Assumptions!$G$132*Assumptions!$G$133*E$14*E$18</f>
        <v/>
      </c>
      <c r="F53" s="21">
        <f>Assumptions!$G$132*Assumptions!$G$133*F$14*F$18</f>
        <v/>
      </c>
      <c r="G53" s="21">
        <f>Assumptions!$G$132*Assumptions!$G$133*G$14*G$18</f>
        <v/>
      </c>
      <c r="H53" s="21">
        <f>Assumptions!$G$132*Assumptions!$G$133*H$14*H$18</f>
        <v/>
      </c>
      <c r="I53" s="21">
        <f>Assumptions!$G$132*Assumptions!$G$133*I$14*I$18</f>
        <v/>
      </c>
      <c r="J53" s="21">
        <f>Assumptions!$G$132*Assumptions!$G$133*J$14*J$18</f>
        <v/>
      </c>
      <c r="K53" s="21">
        <f>Assumptions!$G$132*Assumptions!$G$133*K$14*K$18</f>
        <v/>
      </c>
      <c r="L53" s="53">
        <f>Assumptions!$G$132*Assumptions!$G$133*L$14*L$18</f>
        <v/>
      </c>
      <c r="M53" s="21">
        <f>SUM(B53:K53)</f>
        <v/>
      </c>
    </row>
    <row r="54">
      <c r="A54" s="37" t="inlineStr">
        <is>
          <t>Workshops</t>
        </is>
      </c>
      <c r="B54" s="21">
        <f>Assumptions!$G$134*Assumptions!$G$135*Assumptions!$G$136*B$14*B$8*B$18</f>
        <v/>
      </c>
      <c r="C54" s="21">
        <f>Assumptions!$G$134*Assumptions!$G$135*Assumptions!$G$136*C$14*C$8*C$18</f>
        <v/>
      </c>
      <c r="D54" s="21">
        <f>Assumptions!$G$134*Assumptions!$G$135*Assumptions!$G$136*D$14*D$8*D$18</f>
        <v/>
      </c>
      <c r="E54" s="21">
        <f>Assumptions!$G$134*Assumptions!$G$135*Assumptions!$G$136*E$14*E$8*E$18</f>
        <v/>
      </c>
      <c r="F54" s="21">
        <f>Assumptions!$G$134*Assumptions!$G$135*Assumptions!$G$136*F$14*F$8*F$18</f>
        <v/>
      </c>
      <c r="G54" s="21">
        <f>Assumptions!$G$134*Assumptions!$G$135*Assumptions!$G$136*G$14*G$8*G$18</f>
        <v/>
      </c>
      <c r="H54" s="21">
        <f>Assumptions!$G$134*Assumptions!$G$135*Assumptions!$G$136*H$14*H$8*H$18</f>
        <v/>
      </c>
      <c r="I54" s="21">
        <f>Assumptions!$G$134*Assumptions!$G$135*Assumptions!$G$136*I$14*I$8*I$18</f>
        <v/>
      </c>
      <c r="J54" s="21">
        <f>Assumptions!$G$134*Assumptions!$G$135*Assumptions!$G$136*J$14*J$8*J$18</f>
        <v/>
      </c>
      <c r="K54" s="21">
        <f>Assumptions!$G$134*Assumptions!$G$135*Assumptions!$G$136*K$14*K$8*K$18</f>
        <v/>
      </c>
      <c r="L54" s="53">
        <f>Assumptions!$G$134*Assumptions!$G$135*Assumptions!$G$136*L$14*L$8*L$18</f>
        <v/>
      </c>
      <c r="M54" s="21">
        <f>SUM(B54:K54)</f>
        <v/>
      </c>
    </row>
    <row r="55">
      <c r="A55" s="37" t="inlineStr">
        <is>
          <t>Studio bookings outside residencies</t>
        </is>
      </c>
      <c r="B55" s="21">
        <f>Assumptions!$G$137*Assumptions!$G$138*B$16*B$9*B$18</f>
        <v/>
      </c>
      <c r="C55" s="21">
        <f>Assumptions!$G$137*Assumptions!$G$138*C$16*C$9*C$18</f>
        <v/>
      </c>
      <c r="D55" s="21">
        <f>Assumptions!$G$137*Assumptions!$G$138*D$16*D$9*D$18</f>
        <v/>
      </c>
      <c r="E55" s="21">
        <f>Assumptions!$G$137*Assumptions!$G$138*E$16*E$9*E$18</f>
        <v/>
      </c>
      <c r="F55" s="21">
        <f>Assumptions!$G$137*Assumptions!$G$138*F$16*F$9*F$18</f>
        <v/>
      </c>
      <c r="G55" s="21">
        <f>Assumptions!$G$137*Assumptions!$G$138*G$16*G$9*G$18</f>
        <v/>
      </c>
      <c r="H55" s="21">
        <f>Assumptions!$G$137*Assumptions!$G$138*H$16*H$9*H$18</f>
        <v/>
      </c>
      <c r="I55" s="21">
        <f>Assumptions!$G$137*Assumptions!$G$138*I$16*I$9*I$18</f>
        <v/>
      </c>
      <c r="J55" s="21">
        <f>Assumptions!$G$137*Assumptions!$G$138*J$16*J$9*J$18</f>
        <v/>
      </c>
      <c r="K55" s="21">
        <f>Assumptions!$G$137*Assumptions!$G$138*K$16*K$9*K$18</f>
        <v/>
      </c>
      <c r="L55" s="53">
        <f>Assumptions!$G$137*Assumptions!$G$138*L$16*L$9*L$18</f>
        <v/>
      </c>
      <c r="M55" s="21">
        <f>SUM(B55:K55)</f>
        <v/>
      </c>
    </row>
    <row r="56">
      <c r="A56" s="37" t="inlineStr">
        <is>
          <t>Gallery sessions, kissa bar and shop</t>
        </is>
      </c>
      <c r="B56" s="21">
        <f>Assumptions!$G$139*B$17*B$10*B$18</f>
        <v/>
      </c>
      <c r="C56" s="21">
        <f>Assumptions!$G$139*C$17*C$10*C$18</f>
        <v/>
      </c>
      <c r="D56" s="21">
        <f>Assumptions!$G$139*D$17*D$10*D$18</f>
        <v/>
      </c>
      <c r="E56" s="21">
        <f>Assumptions!$G$139*E$17*E$10*E$18</f>
        <v/>
      </c>
      <c r="F56" s="21">
        <f>Assumptions!$G$139*F$17*F$10*F$18</f>
        <v/>
      </c>
      <c r="G56" s="21">
        <f>Assumptions!$G$139*G$17*G$10*G$18</f>
        <v/>
      </c>
      <c r="H56" s="21">
        <f>Assumptions!$G$139*H$17*H$10*H$18</f>
        <v/>
      </c>
      <c r="I56" s="21">
        <f>Assumptions!$G$139*I$17*I$10*I$18</f>
        <v/>
      </c>
      <c r="J56" s="21">
        <f>Assumptions!$G$139*J$17*J$10*J$18</f>
        <v/>
      </c>
      <c r="K56" s="21">
        <f>Assumptions!$G$139*K$17*K$10*K$18</f>
        <v/>
      </c>
      <c r="L56" s="53">
        <f>Assumptions!$G$139*L$17*L$10*L$18</f>
        <v/>
      </c>
      <c r="M56" s="21">
        <f>SUM(B56:K56)</f>
        <v/>
      </c>
    </row>
    <row r="57">
      <c r="A57" s="37" t="inlineStr">
        <is>
          <t>Stage 0 pop-ups (tickets and sponsors)</t>
        </is>
      </c>
      <c r="B57" s="21">
        <f>Assumptions!$G$140*B$12*B$18</f>
        <v/>
      </c>
      <c r="C57" s="21">
        <f>Assumptions!$G$140*C$12*C$18</f>
        <v/>
      </c>
      <c r="D57" s="21">
        <f>Assumptions!$G$140*D$12*D$18</f>
        <v/>
      </c>
      <c r="E57" s="21">
        <f>Assumptions!$G$140*E$12*E$18</f>
        <v/>
      </c>
      <c r="F57" s="21">
        <f>Assumptions!$G$140*F$12*F$18</f>
        <v/>
      </c>
      <c r="G57" s="21">
        <f>Assumptions!$G$140*G$12*G$18</f>
        <v/>
      </c>
      <c r="H57" s="21">
        <f>Assumptions!$G$140*H$12*H$18</f>
        <v/>
      </c>
      <c r="I57" s="21">
        <f>Assumptions!$G$140*I$12*I$18</f>
        <v/>
      </c>
      <c r="J57" s="21">
        <f>Assumptions!$G$140*J$12*J$18</f>
        <v/>
      </c>
      <c r="K57" s="21">
        <f>Assumptions!$G$140*K$12*K$18</f>
        <v/>
      </c>
      <c r="L57" s="53">
        <f>Assumptions!$G$140*L$12*L$18</f>
        <v/>
      </c>
      <c r="M57" s="21">
        <f>SUM(B57:K57)</f>
        <v/>
      </c>
    </row>
    <row r="58">
      <c r="A58" s="61" t="inlineStr">
        <is>
          <t>TOTAL EARNED REVENUE</t>
        </is>
      </c>
      <c r="B58" s="62">
        <f>SUM(B46:B57)</f>
        <v/>
      </c>
      <c r="C58" s="62">
        <f>SUM(C46:C57)</f>
        <v/>
      </c>
      <c r="D58" s="62">
        <f>SUM(D46:D57)</f>
        <v/>
      </c>
      <c r="E58" s="62">
        <f>SUM(E46:E57)</f>
        <v/>
      </c>
      <c r="F58" s="62">
        <f>SUM(F46:F57)</f>
        <v/>
      </c>
      <c r="G58" s="62">
        <f>SUM(G46:G57)</f>
        <v/>
      </c>
      <c r="H58" s="62">
        <f>SUM(H46:H57)</f>
        <v/>
      </c>
      <c r="I58" s="62">
        <f>SUM(I46:I57)</f>
        <v/>
      </c>
      <c r="J58" s="62">
        <f>SUM(J46:J57)</f>
        <v/>
      </c>
      <c r="K58" s="62">
        <f>SUM(K46:K57)</f>
        <v/>
      </c>
      <c r="L58" s="63">
        <f>SUM(L46:L57)</f>
        <v/>
      </c>
      <c r="M58" s="62">
        <f>SUM(B58:K58)</f>
        <v/>
      </c>
    </row>
    <row r="59">
      <c r="A59" s="7" t="inlineStr">
        <is>
          <t>CONTRIBUTED INCOME (shown separately)</t>
        </is>
      </c>
      <c r="B59" s="8" t="n"/>
      <c r="C59" s="8" t="n"/>
      <c r="D59" s="8" t="n"/>
      <c r="E59" s="8" t="n"/>
      <c r="F59" s="8" t="n"/>
      <c r="G59" s="8" t="n"/>
      <c r="H59" s="8" t="n"/>
      <c r="I59" s="8" t="n"/>
      <c r="J59" s="8" t="n"/>
      <c r="K59" s="8" t="n"/>
      <c r="L59" s="8" t="n"/>
      <c r="M59" s="8" t="n"/>
      <c r="N59" s="8" t="n"/>
    </row>
    <row r="60">
      <c r="A60" s="37" t="inlineStr">
        <is>
          <t>Patrons and founding members</t>
        </is>
      </c>
      <c r="B60" s="21">
        <f>Assumptions!$G$142*B$15*B$18</f>
        <v/>
      </c>
      <c r="C60" s="21">
        <f>Assumptions!$G$142*C$15*C$18</f>
        <v/>
      </c>
      <c r="D60" s="21">
        <f>Assumptions!$G$142*D$15*D$18</f>
        <v/>
      </c>
      <c r="E60" s="21">
        <f>Assumptions!$G$142*E$15*E$18</f>
        <v/>
      </c>
      <c r="F60" s="21">
        <f>Assumptions!$G$142*F$15*F$18</f>
        <v/>
      </c>
      <c r="G60" s="21">
        <f>Assumptions!$G$142*G$15*G$18</f>
        <v/>
      </c>
      <c r="H60" s="21">
        <f>Assumptions!$G$142*H$15*H$18</f>
        <v/>
      </c>
      <c r="I60" s="21">
        <f>Assumptions!$G$142*I$15*I$18</f>
        <v/>
      </c>
      <c r="J60" s="21">
        <f>Assumptions!$G$142*J$15*J$18</f>
        <v/>
      </c>
      <c r="K60" s="21">
        <f>Assumptions!$G$142*K$15*K$18</f>
        <v/>
      </c>
      <c r="L60" s="53">
        <f>Assumptions!$G$142*L$15*L$18</f>
        <v/>
      </c>
      <c r="M60" s="21">
        <f>SUM(B60:K60)</f>
        <v/>
      </c>
    </row>
    <row r="61">
      <c r="A61" s="37" t="inlineStr">
        <is>
          <t>Residency underwriting (foundations, labels, brands)</t>
        </is>
      </c>
      <c r="B61" s="21">
        <f>B$22*(1-Assumptions!$G$108)*Assumptions!$G$143*B$18</f>
        <v/>
      </c>
      <c r="C61" s="21">
        <f>C$22*(1-Assumptions!$G$108)*Assumptions!$G$143*C$18</f>
        <v/>
      </c>
      <c r="D61" s="21">
        <f>D$22*(1-Assumptions!$G$108)*Assumptions!$G$143*D$18</f>
        <v/>
      </c>
      <c r="E61" s="21">
        <f>E$22*(1-Assumptions!$G$108)*Assumptions!$G$143*E$18</f>
        <v/>
      </c>
      <c r="F61" s="21">
        <f>F$22*(1-Assumptions!$G$108)*Assumptions!$G$143*F$18</f>
        <v/>
      </c>
      <c r="G61" s="21">
        <f>G$22*(1-Assumptions!$G$108)*Assumptions!$G$143*G$18</f>
        <v/>
      </c>
      <c r="H61" s="21">
        <f>H$22*(1-Assumptions!$G$108)*Assumptions!$G$143*H$18</f>
        <v/>
      </c>
      <c r="I61" s="21">
        <f>I$22*(1-Assumptions!$G$108)*Assumptions!$G$143*I$18</f>
        <v/>
      </c>
      <c r="J61" s="21">
        <f>J$22*(1-Assumptions!$G$108)*Assumptions!$G$143*J$18</f>
        <v/>
      </c>
      <c r="K61" s="21">
        <f>K$22*(1-Assumptions!$G$108)*Assumptions!$G$143*K$18</f>
        <v/>
      </c>
      <c r="L61" s="53">
        <f>L$22*(1-Assumptions!$G$108)*Assumptions!$G$143*L$18</f>
        <v/>
      </c>
      <c r="M61" s="21">
        <f>SUM(B61:K61)</f>
        <v/>
      </c>
      <c r="N61" s="54" t="inlineStr">
        <is>
          <t>Fellowships: residencies not paid by labels or artists</t>
        </is>
      </c>
    </row>
    <row r="62">
      <c r="A62" s="37" t="inlineStr">
        <is>
          <t>Brand and gear partners (cash)</t>
        </is>
      </c>
      <c r="B62" s="21">
        <f>Assumptions!$G$144*B$15*B$18</f>
        <v/>
      </c>
      <c r="C62" s="21">
        <f>Assumptions!$G$144*C$15*C$18</f>
        <v/>
      </c>
      <c r="D62" s="21">
        <f>Assumptions!$G$144*D$15*D$18</f>
        <v/>
      </c>
      <c r="E62" s="21">
        <f>Assumptions!$G$144*E$15*E$18</f>
        <v/>
      </c>
      <c r="F62" s="21">
        <f>Assumptions!$G$144*F$15*F$18</f>
        <v/>
      </c>
      <c r="G62" s="21">
        <f>Assumptions!$G$144*G$15*G$18</f>
        <v/>
      </c>
      <c r="H62" s="21">
        <f>Assumptions!$G$144*H$15*H$18</f>
        <v/>
      </c>
      <c r="I62" s="21">
        <f>Assumptions!$G$144*I$15*I$18</f>
        <v/>
      </c>
      <c r="J62" s="21">
        <f>Assumptions!$G$144*J$15*J$18</f>
        <v/>
      </c>
      <c r="K62" s="21">
        <f>Assumptions!$G$144*K$15*K$18</f>
        <v/>
      </c>
      <c r="L62" s="53">
        <f>Assumptions!$G$144*L$15*L$18</f>
        <v/>
      </c>
      <c r="M62" s="21">
        <f>SUM(B62:K62)</f>
        <v/>
      </c>
    </row>
    <row r="63">
      <c r="A63" s="37" t="inlineStr">
        <is>
          <t>Grants (nonprofit arm or fiscal sponsor)</t>
        </is>
      </c>
      <c r="B63" s="21">
        <f>Assumptions!$G$145*B$15*B$18</f>
        <v/>
      </c>
      <c r="C63" s="21">
        <f>Assumptions!$G$145*C$15*C$18</f>
        <v/>
      </c>
      <c r="D63" s="21">
        <f>Assumptions!$G$145*D$15*D$18</f>
        <v/>
      </c>
      <c r="E63" s="21">
        <f>Assumptions!$G$145*E$15*E$18</f>
        <v/>
      </c>
      <c r="F63" s="21">
        <f>Assumptions!$G$145*F$15*F$18</f>
        <v/>
      </c>
      <c r="G63" s="21">
        <f>Assumptions!$G$145*G$15*G$18</f>
        <v/>
      </c>
      <c r="H63" s="21">
        <f>Assumptions!$G$145*H$15*H$18</f>
        <v/>
      </c>
      <c r="I63" s="21">
        <f>Assumptions!$G$145*I$15*I$18</f>
        <v/>
      </c>
      <c r="J63" s="21">
        <f>Assumptions!$G$145*J$15*J$18</f>
        <v/>
      </c>
      <c r="K63" s="21">
        <f>Assumptions!$G$145*K$15*K$18</f>
        <v/>
      </c>
      <c r="L63" s="53">
        <f>Assumptions!$G$145*L$15*L$18</f>
        <v/>
      </c>
      <c r="M63" s="21">
        <f>SUM(B63:K63)</f>
        <v/>
      </c>
    </row>
    <row r="64">
      <c r="A64" s="61" t="inlineStr">
        <is>
          <t>TOTAL CONTRIBUTED INCOME</t>
        </is>
      </c>
      <c r="B64" s="62">
        <f>SUM(B60:B63)</f>
        <v/>
      </c>
      <c r="C64" s="62">
        <f>SUM(C60:C63)</f>
        <v/>
      </c>
      <c r="D64" s="62">
        <f>SUM(D60:D63)</f>
        <v/>
      </c>
      <c r="E64" s="62">
        <f>SUM(E60:E63)</f>
        <v/>
      </c>
      <c r="F64" s="62">
        <f>SUM(F60:F63)</f>
        <v/>
      </c>
      <c r="G64" s="62">
        <f>SUM(G60:G63)</f>
        <v/>
      </c>
      <c r="H64" s="62">
        <f>SUM(H60:H63)</f>
        <v/>
      </c>
      <c r="I64" s="62">
        <f>SUM(I60:I63)</f>
        <v/>
      </c>
      <c r="J64" s="62">
        <f>SUM(J60:J63)</f>
        <v/>
      </c>
      <c r="K64" s="62">
        <f>SUM(K60:K63)</f>
        <v/>
      </c>
      <c r="L64" s="63">
        <f>SUM(L60:L63)</f>
        <v/>
      </c>
      <c r="M64" s="62">
        <f>SUM(B64:K64)</f>
        <v/>
      </c>
    </row>
    <row r="65">
      <c r="A65" s="64" t="inlineStr">
        <is>
          <t>Total revenue (earned + contributed)</t>
        </is>
      </c>
      <c r="B65" s="20">
        <f>B$58+B$64</f>
        <v/>
      </c>
      <c r="C65" s="20">
        <f>C$58+C$64</f>
        <v/>
      </c>
      <c r="D65" s="20">
        <f>D$58+D$64</f>
        <v/>
      </c>
      <c r="E65" s="20">
        <f>E$58+E$64</f>
        <v/>
      </c>
      <c r="F65" s="20">
        <f>F$58+F$64</f>
        <v/>
      </c>
      <c r="G65" s="20">
        <f>G$58+G$64</f>
        <v/>
      </c>
      <c r="H65" s="20">
        <f>H$58+H$64</f>
        <v/>
      </c>
      <c r="I65" s="20">
        <f>I$58+I$64</f>
        <v/>
      </c>
      <c r="J65" s="20">
        <f>J$58+J$64</f>
        <v/>
      </c>
      <c r="K65" s="20">
        <f>K$58+K$64</f>
        <v/>
      </c>
      <c r="L65" s="65">
        <f>L$58+L$64</f>
        <v/>
      </c>
      <c r="M65" s="20">
        <f>SUM(B65:K65)</f>
        <v/>
      </c>
    </row>
    <row r="66">
      <c r="A66" s="37" t="inlineStr">
        <is>
          <t>Earned share of total revenue</t>
        </is>
      </c>
      <c r="B66" s="55">
        <f>IF(B$65&gt;0,B$58/B$65,0)</f>
        <v/>
      </c>
      <c r="C66" s="55">
        <f>IF(C$65&gt;0,C$58/C$65,0)</f>
        <v/>
      </c>
      <c r="D66" s="55">
        <f>IF(D$65&gt;0,D$58/D$65,0)</f>
        <v/>
      </c>
      <c r="E66" s="55">
        <f>IF(E$65&gt;0,E$58/E$65,0)</f>
        <v/>
      </c>
      <c r="F66" s="55">
        <f>IF(F$65&gt;0,F$58/F$65,0)</f>
        <v/>
      </c>
      <c r="G66" s="55">
        <f>IF(G$65&gt;0,G$58/G$65,0)</f>
        <v/>
      </c>
      <c r="H66" s="55">
        <f>IF(H$65&gt;0,H$58/H$65,0)</f>
        <v/>
      </c>
      <c r="I66" s="55">
        <f>IF(I$65&gt;0,I$58/I$65,0)</f>
        <v/>
      </c>
      <c r="J66" s="55">
        <f>IF(J$65&gt;0,J$58/J$65,0)</f>
        <v/>
      </c>
      <c r="K66" s="55">
        <f>IF(K$65&gt;0,K$58/K$65,0)</f>
        <v/>
      </c>
      <c r="L66" s="56">
        <f>IF(L$65&gt;0,L$58/L$65,0)</f>
        <v/>
      </c>
    </row>
    <row r="67">
      <c r="A67" s="7" t="inlineStr">
        <is>
          <t>OPERATING EXPENSES</t>
        </is>
      </c>
      <c r="B67" s="8" t="n"/>
      <c r="C67" s="8" t="n"/>
      <c r="D67" s="8" t="n"/>
      <c r="E67" s="8" t="n"/>
      <c r="F67" s="8" t="n"/>
      <c r="G67" s="8" t="n"/>
      <c r="H67" s="8" t="n"/>
      <c r="I67" s="8" t="n"/>
      <c r="J67" s="8" t="n"/>
      <c r="K67" s="8" t="n"/>
      <c r="L67" s="8" t="n"/>
      <c r="M67" s="8" t="n"/>
      <c r="N67" s="8" t="n"/>
    </row>
    <row r="68">
      <c r="A68" s="66" t="inlineStr">
        <is>
          <t>Staff: CEO</t>
        </is>
      </c>
      <c r="B68" s="47">
        <f>Assumptions!$G$198*Assumptions!$G$199*Assumptions!$G$167*B$8*B$18</f>
        <v/>
      </c>
      <c r="C68" s="47">
        <f>Assumptions!$G$198*Assumptions!$G$199*Assumptions!$G$167*C$8*C$18</f>
        <v/>
      </c>
      <c r="D68" s="47">
        <f>Assumptions!$G$198*Assumptions!$G$199*Assumptions!$G$167*D$8*D$18</f>
        <v/>
      </c>
      <c r="E68" s="47">
        <f>Assumptions!$G$198*Assumptions!$G$199*Assumptions!$G$167*E$8*E$18</f>
        <v/>
      </c>
      <c r="F68" s="47">
        <f>Assumptions!$G$198*Assumptions!$G$199*Assumptions!$G$167*F$8*F$18</f>
        <v/>
      </c>
      <c r="G68" s="47">
        <f>Assumptions!$G$198*Assumptions!$G$199*Assumptions!$G$167*G$8*G$18</f>
        <v/>
      </c>
      <c r="H68" s="47">
        <f>Assumptions!$G$198*Assumptions!$G$199*Assumptions!$G$167*H$8*H$18</f>
        <v/>
      </c>
      <c r="I68" s="47">
        <f>Assumptions!$G$198*Assumptions!$G$199*Assumptions!$G$167*I$8*I$18</f>
        <v/>
      </c>
      <c r="J68" s="47">
        <f>Assumptions!$G$198*Assumptions!$G$199*Assumptions!$G$167*J$8*J$18</f>
        <v/>
      </c>
      <c r="K68" s="47">
        <f>Assumptions!$G$198*Assumptions!$G$199*Assumptions!$G$167*K$8*K$18</f>
        <v/>
      </c>
      <c r="L68" s="67">
        <f>Assumptions!$G$198*Assumptions!$G$199*Assumptions!$G$167*L$8*L$18</f>
        <v/>
      </c>
      <c r="M68" s="47">
        <f>SUM(B68:K68)</f>
        <v/>
      </c>
    </row>
    <row r="69">
      <c r="A69" s="66" t="inlineStr">
        <is>
          <t>Staff: COO</t>
        </is>
      </c>
      <c r="B69" s="47">
        <f>Assumptions!$G$200*Assumptions!$G$201*Assumptions!$G$167*B$8*B$18</f>
        <v/>
      </c>
      <c r="C69" s="47">
        <f>Assumptions!$G$200*Assumptions!$G$201*Assumptions!$G$167*C$8*C$18</f>
        <v/>
      </c>
      <c r="D69" s="47">
        <f>Assumptions!$G$200*Assumptions!$G$201*Assumptions!$G$167*D$8*D$18</f>
        <v/>
      </c>
      <c r="E69" s="47">
        <f>Assumptions!$G$200*Assumptions!$G$201*Assumptions!$G$167*E$8*E$18</f>
        <v/>
      </c>
      <c r="F69" s="47">
        <f>Assumptions!$G$200*Assumptions!$G$201*Assumptions!$G$167*F$8*F$18</f>
        <v/>
      </c>
      <c r="G69" s="47">
        <f>Assumptions!$G$200*Assumptions!$G$201*Assumptions!$G$167*G$8*G$18</f>
        <v/>
      </c>
      <c r="H69" s="47">
        <f>Assumptions!$G$200*Assumptions!$G$201*Assumptions!$G$167*H$8*H$18</f>
        <v/>
      </c>
      <c r="I69" s="47">
        <f>Assumptions!$G$200*Assumptions!$G$201*Assumptions!$G$167*I$8*I$18</f>
        <v/>
      </c>
      <c r="J69" s="47">
        <f>Assumptions!$G$200*Assumptions!$G$201*Assumptions!$G$167*J$8*J$18</f>
        <v/>
      </c>
      <c r="K69" s="47">
        <f>Assumptions!$G$200*Assumptions!$G$201*Assumptions!$G$167*K$8*K$18</f>
        <v/>
      </c>
      <c r="L69" s="67">
        <f>Assumptions!$G$200*Assumptions!$G$201*Assumptions!$G$167*L$8*L$18</f>
        <v/>
      </c>
      <c r="M69" s="47">
        <f>SUM(B69:K69)</f>
        <v/>
      </c>
    </row>
    <row r="70">
      <c r="A70" s="66" t="inlineStr">
        <is>
          <t>Staff: Fractional CFO</t>
        </is>
      </c>
      <c r="B70" s="47">
        <f>Assumptions!$G$202*Assumptions!$G$203*Assumptions!$G$167*B$8*B$18</f>
        <v/>
      </c>
      <c r="C70" s="47">
        <f>Assumptions!$G$202*Assumptions!$G$203*Assumptions!$G$167*C$8*C$18</f>
        <v/>
      </c>
      <c r="D70" s="47">
        <f>Assumptions!$G$202*Assumptions!$G$203*Assumptions!$G$167*D$8*D$18</f>
        <v/>
      </c>
      <c r="E70" s="47">
        <f>Assumptions!$G$202*Assumptions!$G$203*Assumptions!$G$167*E$8*E$18</f>
        <v/>
      </c>
      <c r="F70" s="47">
        <f>Assumptions!$G$202*Assumptions!$G$203*Assumptions!$G$167*F$8*F$18</f>
        <v/>
      </c>
      <c r="G70" s="47">
        <f>Assumptions!$G$202*Assumptions!$G$203*Assumptions!$G$167*G$8*G$18</f>
        <v/>
      </c>
      <c r="H70" s="47">
        <f>Assumptions!$G$202*Assumptions!$G$203*Assumptions!$G$167*H$8*H$18</f>
        <v/>
      </c>
      <c r="I70" s="47">
        <f>Assumptions!$G$202*Assumptions!$G$203*Assumptions!$G$167*I$8*I$18</f>
        <v/>
      </c>
      <c r="J70" s="47">
        <f>Assumptions!$G$202*Assumptions!$G$203*Assumptions!$G$167*J$8*J$18</f>
        <v/>
      </c>
      <c r="K70" s="47">
        <f>Assumptions!$G$202*Assumptions!$G$203*Assumptions!$G$167*K$8*K$18</f>
        <v/>
      </c>
      <c r="L70" s="67">
        <f>Assumptions!$G$202*Assumptions!$G$203*Assumptions!$G$167*L$8*L$18</f>
        <v/>
      </c>
      <c r="M70" s="47">
        <f>SUM(B70:K70)</f>
        <v/>
      </c>
    </row>
    <row r="71">
      <c r="A71" s="66" t="inlineStr">
        <is>
          <t>Staff: Head of programming</t>
        </is>
      </c>
      <c r="B71" s="47">
        <f>Assumptions!$G$204*Assumptions!$G$205*Assumptions!$G$167*B$8*B$18</f>
        <v/>
      </c>
      <c r="C71" s="47">
        <f>Assumptions!$G$204*Assumptions!$G$205*Assumptions!$G$167*C$8*C$18</f>
        <v/>
      </c>
      <c r="D71" s="47">
        <f>Assumptions!$G$204*Assumptions!$G$205*Assumptions!$G$167*D$8*D$18</f>
        <v/>
      </c>
      <c r="E71" s="47">
        <f>Assumptions!$G$204*Assumptions!$G$205*Assumptions!$G$167*E$8*E$18</f>
        <v/>
      </c>
      <c r="F71" s="47">
        <f>Assumptions!$G$204*Assumptions!$G$205*Assumptions!$G$167*F$8*F$18</f>
        <v/>
      </c>
      <c r="G71" s="47">
        <f>Assumptions!$G$204*Assumptions!$G$205*Assumptions!$G$167*G$8*G$18</f>
        <v/>
      </c>
      <c r="H71" s="47">
        <f>Assumptions!$G$204*Assumptions!$G$205*Assumptions!$G$167*H$8*H$18</f>
        <v/>
      </c>
      <c r="I71" s="47">
        <f>Assumptions!$G$204*Assumptions!$G$205*Assumptions!$G$167*I$8*I$18</f>
        <v/>
      </c>
      <c r="J71" s="47">
        <f>Assumptions!$G$204*Assumptions!$G$205*Assumptions!$G$167*J$8*J$18</f>
        <v/>
      </c>
      <c r="K71" s="47">
        <f>Assumptions!$G$204*Assumptions!$G$205*Assumptions!$G$167*K$8*K$18</f>
        <v/>
      </c>
      <c r="L71" s="67">
        <f>Assumptions!$G$204*Assumptions!$G$205*Assumptions!$G$167*L$8*L$18</f>
        <v/>
      </c>
      <c r="M71" s="47">
        <f>SUM(B71:K71)</f>
        <v/>
      </c>
    </row>
    <row r="72">
      <c r="A72" s="66" t="inlineStr">
        <is>
          <t>Staff: Head of operations</t>
        </is>
      </c>
      <c r="B72" s="47">
        <f>Assumptions!$G$206*Assumptions!$G$207*Assumptions!$G$167*B$8*B$18</f>
        <v/>
      </c>
      <c r="C72" s="47">
        <f>Assumptions!$G$206*Assumptions!$G$207*Assumptions!$G$167*C$8*C$18</f>
        <v/>
      </c>
      <c r="D72" s="47">
        <f>Assumptions!$G$206*Assumptions!$G$207*Assumptions!$G$167*D$8*D$18</f>
        <v/>
      </c>
      <c r="E72" s="47">
        <f>Assumptions!$G$206*Assumptions!$G$207*Assumptions!$G$167*E$8*E$18</f>
        <v/>
      </c>
      <c r="F72" s="47">
        <f>Assumptions!$G$206*Assumptions!$G$207*Assumptions!$G$167*F$8*F$18</f>
        <v/>
      </c>
      <c r="G72" s="47">
        <f>Assumptions!$G$206*Assumptions!$G$207*Assumptions!$G$167*G$8*G$18</f>
        <v/>
      </c>
      <c r="H72" s="47">
        <f>Assumptions!$G$206*Assumptions!$G$207*Assumptions!$G$167*H$8*H$18</f>
        <v/>
      </c>
      <c r="I72" s="47">
        <f>Assumptions!$G$206*Assumptions!$G$207*Assumptions!$G$167*I$8*I$18</f>
        <v/>
      </c>
      <c r="J72" s="47">
        <f>Assumptions!$G$206*Assumptions!$G$207*Assumptions!$G$167*J$8*J$18</f>
        <v/>
      </c>
      <c r="K72" s="47">
        <f>Assumptions!$G$206*Assumptions!$G$207*Assumptions!$G$167*K$8*K$18</f>
        <v/>
      </c>
      <c r="L72" s="67">
        <f>Assumptions!$G$206*Assumptions!$G$207*Assumptions!$G$167*L$8*L$18</f>
        <v/>
      </c>
      <c r="M72" s="47">
        <f>SUM(B72:K72)</f>
        <v/>
      </c>
    </row>
    <row r="73">
      <c r="A73" s="66" t="inlineStr">
        <is>
          <t>Staff: Head of marketing and partnerships</t>
        </is>
      </c>
      <c r="B73" s="47">
        <f>Assumptions!$G$208*Assumptions!$G$209*Assumptions!$G$167*B$8*B$18</f>
        <v/>
      </c>
      <c r="C73" s="47">
        <f>Assumptions!$G$208*Assumptions!$G$209*Assumptions!$G$167*C$8*C$18</f>
        <v/>
      </c>
      <c r="D73" s="47">
        <f>Assumptions!$G$208*Assumptions!$G$209*Assumptions!$G$167*D$8*D$18</f>
        <v/>
      </c>
      <c r="E73" s="47">
        <f>Assumptions!$G$208*Assumptions!$G$209*Assumptions!$G$167*E$8*E$18</f>
        <v/>
      </c>
      <c r="F73" s="47">
        <f>Assumptions!$G$208*Assumptions!$G$209*Assumptions!$G$167*F$8*F$18</f>
        <v/>
      </c>
      <c r="G73" s="47">
        <f>Assumptions!$G$208*Assumptions!$G$209*Assumptions!$G$167*G$8*G$18</f>
        <v/>
      </c>
      <c r="H73" s="47">
        <f>Assumptions!$G$208*Assumptions!$G$209*Assumptions!$G$167*H$8*H$18</f>
        <v/>
      </c>
      <c r="I73" s="47">
        <f>Assumptions!$G$208*Assumptions!$G$209*Assumptions!$G$167*I$8*I$18</f>
        <v/>
      </c>
      <c r="J73" s="47">
        <f>Assumptions!$G$208*Assumptions!$G$209*Assumptions!$G$167*J$8*J$18</f>
        <v/>
      </c>
      <c r="K73" s="47">
        <f>Assumptions!$G$208*Assumptions!$G$209*Assumptions!$G$167*K$8*K$18</f>
        <v/>
      </c>
      <c r="L73" s="67">
        <f>Assumptions!$G$208*Assumptions!$G$209*Assumptions!$G$167*L$8*L$18</f>
        <v/>
      </c>
      <c r="M73" s="47">
        <f>SUM(B73:K73)</f>
        <v/>
      </c>
    </row>
    <row r="74">
      <c r="A74" s="66" t="inlineStr">
        <is>
          <t>Staff: Gardener and groundskeeper</t>
        </is>
      </c>
      <c r="B74" s="47">
        <f>Assumptions!$G$210*Assumptions!$G$211*Assumptions!$G$167*B$8*B$18</f>
        <v/>
      </c>
      <c r="C74" s="47">
        <f>Assumptions!$G$210*Assumptions!$G$211*Assumptions!$G$167*C$8*C$18</f>
        <v/>
      </c>
      <c r="D74" s="47">
        <f>Assumptions!$G$210*Assumptions!$G$211*Assumptions!$G$167*D$8*D$18</f>
        <v/>
      </c>
      <c r="E74" s="47">
        <f>Assumptions!$G$210*Assumptions!$G$211*Assumptions!$G$167*E$8*E$18</f>
        <v/>
      </c>
      <c r="F74" s="47">
        <f>Assumptions!$G$210*Assumptions!$G$211*Assumptions!$G$167*F$8*F$18</f>
        <v/>
      </c>
      <c r="G74" s="47">
        <f>Assumptions!$G$210*Assumptions!$G$211*Assumptions!$G$167*G$8*G$18</f>
        <v/>
      </c>
      <c r="H74" s="47">
        <f>Assumptions!$G$210*Assumptions!$G$211*Assumptions!$G$167*H$8*H$18</f>
        <v/>
      </c>
      <c r="I74" s="47">
        <f>Assumptions!$G$210*Assumptions!$G$211*Assumptions!$G$167*I$8*I$18</f>
        <v/>
      </c>
      <c r="J74" s="47">
        <f>Assumptions!$G$210*Assumptions!$G$211*Assumptions!$G$167*J$8*J$18</f>
        <v/>
      </c>
      <c r="K74" s="47">
        <f>Assumptions!$G$210*Assumptions!$G$211*Assumptions!$G$167*K$8*K$18</f>
        <v/>
      </c>
      <c r="L74" s="67">
        <f>Assumptions!$G$210*Assumptions!$G$211*Assumptions!$G$167*L$8*L$18</f>
        <v/>
      </c>
      <c r="M74" s="47">
        <f>SUM(B74:K74)</f>
        <v/>
      </c>
    </row>
    <row r="75">
      <c r="A75" s="66" t="inlineStr">
        <is>
          <t>Staff: Cleaner</t>
        </is>
      </c>
      <c r="B75" s="47">
        <f>Assumptions!$G$212*Assumptions!$G$213*Assumptions!$G$167*B$8*B$18</f>
        <v/>
      </c>
      <c r="C75" s="47">
        <f>Assumptions!$G$212*Assumptions!$G$213*Assumptions!$G$167*C$8*C$18</f>
        <v/>
      </c>
      <c r="D75" s="47">
        <f>Assumptions!$G$212*Assumptions!$G$213*Assumptions!$G$167*D$8*D$18</f>
        <v/>
      </c>
      <c r="E75" s="47">
        <f>Assumptions!$G$212*Assumptions!$G$213*Assumptions!$G$167*E$8*E$18</f>
        <v/>
      </c>
      <c r="F75" s="47">
        <f>Assumptions!$G$212*Assumptions!$G$213*Assumptions!$G$167*F$8*F$18</f>
        <v/>
      </c>
      <c r="G75" s="47">
        <f>Assumptions!$G$212*Assumptions!$G$213*Assumptions!$G$167*G$8*G$18</f>
        <v/>
      </c>
      <c r="H75" s="47">
        <f>Assumptions!$G$212*Assumptions!$G$213*Assumptions!$G$167*H$8*H$18</f>
        <v/>
      </c>
      <c r="I75" s="47">
        <f>Assumptions!$G$212*Assumptions!$G$213*Assumptions!$G$167*I$8*I$18</f>
        <v/>
      </c>
      <c r="J75" s="47">
        <f>Assumptions!$G$212*Assumptions!$G$213*Assumptions!$G$167*J$8*J$18</f>
        <v/>
      </c>
      <c r="K75" s="47">
        <f>Assumptions!$G$212*Assumptions!$G$213*Assumptions!$G$167*K$8*K$18</f>
        <v/>
      </c>
      <c r="L75" s="67">
        <f>Assumptions!$G$212*Assumptions!$G$213*Assumptions!$G$167*L$8*L$18</f>
        <v/>
      </c>
      <c r="M75" s="47">
        <f>SUM(B75:K75)</f>
        <v/>
      </c>
    </row>
    <row r="76">
      <c r="A76" s="64" t="inlineStr">
        <is>
          <t>Staff (salaries, payroll taxes and benefits)</t>
        </is>
      </c>
      <c r="B76" s="20">
        <f>SUM(B68:B75)</f>
        <v/>
      </c>
      <c r="C76" s="20">
        <f>SUM(C68:C75)</f>
        <v/>
      </c>
      <c r="D76" s="20">
        <f>SUM(D68:D75)</f>
        <v/>
      </c>
      <c r="E76" s="20">
        <f>SUM(E68:E75)</f>
        <v/>
      </c>
      <c r="F76" s="20">
        <f>SUM(F68:F75)</f>
        <v/>
      </c>
      <c r="G76" s="20">
        <f>SUM(G68:G75)</f>
        <v/>
      </c>
      <c r="H76" s="20">
        <f>SUM(H68:H75)</f>
        <v/>
      </c>
      <c r="I76" s="20">
        <f>SUM(I68:I75)</f>
        <v/>
      </c>
      <c r="J76" s="20">
        <f>SUM(J68:J75)</f>
        <v/>
      </c>
      <c r="K76" s="20">
        <f>SUM(K68:K75)</f>
        <v/>
      </c>
      <c r="L76" s="65">
        <f>SUM(L68:L75)</f>
        <v/>
      </c>
      <c r="M76" s="20">
        <f>SUM(B76:K76)</f>
        <v/>
      </c>
    </row>
    <row r="77">
      <c r="A77" s="37" t="inlineStr">
        <is>
          <t>Contract services for programs and events (chefs and kitchen help, studio engineers, live sound, extra housekeeping)</t>
        </is>
      </c>
      <c r="B77" s="21">
        <f>Assumptions!$G$168*B$8*B$18</f>
        <v/>
      </c>
      <c r="C77" s="21">
        <f>Assumptions!$G$168*C$8*C$18</f>
        <v/>
      </c>
      <c r="D77" s="21">
        <f>Assumptions!$G$168*D$8*D$18</f>
        <v/>
      </c>
      <c r="E77" s="21">
        <f>Assumptions!$G$168*E$8*E$18</f>
        <v/>
      </c>
      <c r="F77" s="21">
        <f>Assumptions!$G$168*F$8*F$18</f>
        <v/>
      </c>
      <c r="G77" s="21">
        <f>Assumptions!$G$168*G$8*G$18</f>
        <v/>
      </c>
      <c r="H77" s="21">
        <f>Assumptions!$G$168*H$8*H$18</f>
        <v/>
      </c>
      <c r="I77" s="21">
        <f>Assumptions!$G$168*I$8*I$18</f>
        <v/>
      </c>
      <c r="J77" s="21">
        <f>Assumptions!$G$168*J$8*J$18</f>
        <v/>
      </c>
      <c r="K77" s="21">
        <f>Assumptions!$G$168*K$8*K$18</f>
        <v/>
      </c>
      <c r="L77" s="53">
        <f>Assumptions!$G$168*L$8*L$18</f>
        <v/>
      </c>
      <c r="M77" s="21">
        <f>SUM(B77:K77)</f>
        <v/>
      </c>
      <c r="N77" s="54" t="inlineStr">
        <is>
          <t>Chefs, kitchen help, studio engineers, live sound, extra housekeeping</t>
        </is>
      </c>
    </row>
    <row r="78">
      <c r="A78" s="37" t="inlineStr">
        <is>
          <t>Residency program (artist fees, travel, studio support, films, meals)</t>
        </is>
      </c>
      <c r="B78" s="21">
        <f>B$22*(Assumptions!$G$157+Assumptions!$G$158+Assumptions!$G$159+Assumptions!$G$160+Assumptions!$G$161)*B$18</f>
        <v/>
      </c>
      <c r="C78" s="21">
        <f>C$22*(Assumptions!$G$157+Assumptions!$G$158+Assumptions!$G$159+Assumptions!$G$160+Assumptions!$G$161)*C$18</f>
        <v/>
      </c>
      <c r="D78" s="21">
        <f>D$22*(Assumptions!$G$157+Assumptions!$G$158+Assumptions!$G$159+Assumptions!$G$160+Assumptions!$G$161)*D$18</f>
        <v/>
      </c>
      <c r="E78" s="21">
        <f>E$22*(Assumptions!$G$157+Assumptions!$G$158+Assumptions!$G$159+Assumptions!$G$160+Assumptions!$G$161)*E$18</f>
        <v/>
      </c>
      <c r="F78" s="21">
        <f>F$22*(Assumptions!$G$157+Assumptions!$G$158+Assumptions!$G$159+Assumptions!$G$160+Assumptions!$G$161)*F$18</f>
        <v/>
      </c>
      <c r="G78" s="21">
        <f>G$22*(Assumptions!$G$157+Assumptions!$G$158+Assumptions!$G$159+Assumptions!$G$160+Assumptions!$G$161)*G$18</f>
        <v/>
      </c>
      <c r="H78" s="21">
        <f>H$22*(Assumptions!$G$157+Assumptions!$G$158+Assumptions!$G$159+Assumptions!$G$160+Assumptions!$G$161)*H$18</f>
        <v/>
      </c>
      <c r="I78" s="21">
        <f>I$22*(Assumptions!$G$157+Assumptions!$G$158+Assumptions!$G$159+Assumptions!$G$160+Assumptions!$G$161)*I$18</f>
        <v/>
      </c>
      <c r="J78" s="21">
        <f>J$22*(Assumptions!$G$157+Assumptions!$G$158+Assumptions!$G$159+Assumptions!$G$160+Assumptions!$G$161)*J$18</f>
        <v/>
      </c>
      <c r="K78" s="21">
        <f>K$22*(Assumptions!$G$157+Assumptions!$G$158+Assumptions!$G$159+Assumptions!$G$160+Assumptions!$G$161)*K$18</f>
        <v/>
      </c>
      <c r="L78" s="53">
        <f>L$22*(Assumptions!$G$157+Assumptions!$G$158+Assumptions!$G$159+Assumptions!$G$160+Assumptions!$G$161)*L$18</f>
        <v/>
      </c>
      <c r="M78" s="21">
        <f>SUM(B78:K78)</f>
        <v/>
      </c>
    </row>
    <row r="79">
      <c r="A79" s="37" t="inlineStr">
        <is>
          <t>Performance production</t>
        </is>
      </c>
      <c r="B79" s="21">
        <f>B$30*Assumptions!$G$162*B$18</f>
        <v/>
      </c>
      <c r="C79" s="21">
        <f>C$30*Assumptions!$G$162*C$18</f>
        <v/>
      </c>
      <c r="D79" s="21">
        <f>D$30*Assumptions!$G$162*D$18</f>
        <v/>
      </c>
      <c r="E79" s="21">
        <f>E$30*Assumptions!$G$162*E$18</f>
        <v/>
      </c>
      <c r="F79" s="21">
        <f>F$30*Assumptions!$G$162*F$18</f>
        <v/>
      </c>
      <c r="G79" s="21">
        <f>G$30*Assumptions!$G$162*G$18</f>
        <v/>
      </c>
      <c r="H79" s="21">
        <f>H$30*Assumptions!$G$162*H$18</f>
        <v/>
      </c>
      <c r="I79" s="21">
        <f>I$30*Assumptions!$G$162*I$18</f>
        <v/>
      </c>
      <c r="J79" s="21">
        <f>J$30*Assumptions!$G$162*J$18</f>
        <v/>
      </c>
      <c r="K79" s="21">
        <f>K$30*Assumptions!$G$162*K$18</f>
        <v/>
      </c>
      <c r="L79" s="53">
        <f>L$30*Assumptions!$G$162*L$18</f>
        <v/>
      </c>
      <c r="M79" s="21">
        <f>SUM(B79:K79)</f>
        <v/>
      </c>
    </row>
    <row r="80">
      <c r="A80" s="37" t="inlineStr">
        <is>
          <t>Program fixed (content, honoraria, showcases, access fund)</t>
        </is>
      </c>
      <c r="B80" s="21">
        <f>Assumptions!$G$163*B$8*B$18</f>
        <v/>
      </c>
      <c r="C80" s="21">
        <f>Assumptions!$G$163*C$8*C$18</f>
        <v/>
      </c>
      <c r="D80" s="21">
        <f>Assumptions!$G$163*D$8*D$18</f>
        <v/>
      </c>
      <c r="E80" s="21">
        <f>Assumptions!$G$163*E$8*E$18</f>
        <v/>
      </c>
      <c r="F80" s="21">
        <f>Assumptions!$G$163*F$8*F$18</f>
        <v/>
      </c>
      <c r="G80" s="21">
        <f>Assumptions!$G$163*G$8*G$18</f>
        <v/>
      </c>
      <c r="H80" s="21">
        <f>Assumptions!$G$163*H$8*H$18</f>
        <v/>
      </c>
      <c r="I80" s="21">
        <f>Assumptions!$G$163*I$8*I$18</f>
        <v/>
      </c>
      <c r="J80" s="21">
        <f>Assumptions!$G$163*J$8*J$18</f>
        <v/>
      </c>
      <c r="K80" s="21">
        <f>Assumptions!$G$163*K$8*K$18</f>
        <v/>
      </c>
      <c r="L80" s="53">
        <f>Assumptions!$G$163*L$8*L$18</f>
        <v/>
      </c>
      <c r="M80" s="21">
        <f>SUM(B80:K80)</f>
        <v/>
      </c>
    </row>
    <row r="81">
      <c r="A81" s="37" t="inlineStr">
        <is>
          <t>Retreat facilitators and program costs (share of the all-in price)</t>
        </is>
      </c>
      <c r="B81" s="21">
        <f>B$48*Assumptions!$G$169</f>
        <v/>
      </c>
      <c r="C81" s="21">
        <f>C$48*Assumptions!$G$169</f>
        <v/>
      </c>
      <c r="D81" s="21">
        <f>D$48*Assumptions!$G$169</f>
        <v/>
      </c>
      <c r="E81" s="21">
        <f>E$48*Assumptions!$G$169</f>
        <v/>
      </c>
      <c r="F81" s="21">
        <f>F$48*Assumptions!$G$169</f>
        <v/>
      </c>
      <c r="G81" s="21">
        <f>G$48*Assumptions!$G$169</f>
        <v/>
      </c>
      <c r="H81" s="21">
        <f>H$48*Assumptions!$G$169</f>
        <v/>
      </c>
      <c r="I81" s="21">
        <f>I$48*Assumptions!$G$169</f>
        <v/>
      </c>
      <c r="J81" s="21">
        <f>J$48*Assumptions!$G$169</f>
        <v/>
      </c>
      <c r="K81" s="21">
        <f>K$48*Assumptions!$G$169</f>
        <v/>
      </c>
      <c r="L81" s="53">
        <f>L$48*Assumptions!$G$169</f>
        <v/>
      </c>
      <c r="M81" s="21">
        <f>SUM(B81:K81)</f>
        <v/>
      </c>
    </row>
    <row r="82">
      <c r="A82" s="37" t="inlineStr">
        <is>
          <t>Retreat food (inside the all-in price)</t>
        </is>
      </c>
      <c r="B82" s="21">
        <f>B$26*Assumptions!$G$102*Assumptions!$G$173*B$18</f>
        <v/>
      </c>
      <c r="C82" s="21">
        <f>C$26*Assumptions!$G$102*Assumptions!$G$173*C$18</f>
        <v/>
      </c>
      <c r="D82" s="21">
        <f>D$26*Assumptions!$G$102*Assumptions!$G$173*D$18</f>
        <v/>
      </c>
      <c r="E82" s="21">
        <f>E$26*Assumptions!$G$102*Assumptions!$G$173*E$18</f>
        <v/>
      </c>
      <c r="F82" s="21">
        <f>F$26*Assumptions!$G$102*Assumptions!$G$173*F$18</f>
        <v/>
      </c>
      <c r="G82" s="21">
        <f>G$26*Assumptions!$G$102*Assumptions!$G$173*G$18</f>
        <v/>
      </c>
      <c r="H82" s="21">
        <f>H$26*Assumptions!$G$102*Assumptions!$G$173*H$18</f>
        <v/>
      </c>
      <c r="I82" s="21">
        <f>I$26*Assumptions!$G$102*Assumptions!$G$173*I$18</f>
        <v/>
      </c>
      <c r="J82" s="21">
        <f>J$26*Assumptions!$G$102*Assumptions!$G$173*J$18</f>
        <v/>
      </c>
      <c r="K82" s="21">
        <f>K$26*Assumptions!$G$102*Assumptions!$G$173*K$18</f>
        <v/>
      </c>
      <c r="L82" s="53">
        <f>L$26*Assumptions!$G$102*Assumptions!$G$173*L$18</f>
        <v/>
      </c>
      <c r="M82" s="21">
        <f>SUM(B82:K82)</f>
        <v/>
      </c>
      <c r="N82" s="54" t="inlineStr">
        <is>
          <t>Retreat guest-nights x F&amp;B per guest x cost of sales</t>
        </is>
      </c>
    </row>
    <row r="83">
      <c r="A83" s="37" t="inlineStr">
        <is>
          <t>Program weekend facilitators and direct costs</t>
        </is>
      </c>
      <c r="B83" s="21">
        <f>B$49*Assumptions!$G$170</f>
        <v/>
      </c>
      <c r="C83" s="21">
        <f>C$49*Assumptions!$G$170</f>
        <v/>
      </c>
      <c r="D83" s="21">
        <f>D$49*Assumptions!$G$170</f>
        <v/>
      </c>
      <c r="E83" s="21">
        <f>E$49*Assumptions!$G$170</f>
        <v/>
      </c>
      <c r="F83" s="21">
        <f>F$49*Assumptions!$G$170</f>
        <v/>
      </c>
      <c r="G83" s="21">
        <f>G$49*Assumptions!$G$170</f>
        <v/>
      </c>
      <c r="H83" s="21">
        <f>H$49*Assumptions!$G$170</f>
        <v/>
      </c>
      <c r="I83" s="21">
        <f>I$49*Assumptions!$G$170</f>
        <v/>
      </c>
      <c r="J83" s="21">
        <f>J$49*Assumptions!$G$170</f>
        <v/>
      </c>
      <c r="K83" s="21">
        <f>K$49*Assumptions!$G$170</f>
        <v/>
      </c>
      <c r="L83" s="53">
        <f>L$49*Assumptions!$G$170</f>
        <v/>
      </c>
      <c r="M83" s="21">
        <f>SUM(B83:K83)</f>
        <v/>
      </c>
    </row>
    <row r="84">
      <c r="A84" s="37" t="inlineStr">
        <is>
          <t>Takeover event costs (crew, security, shuttles)</t>
        </is>
      </c>
      <c r="B84" s="21">
        <f>B$50*Assumptions!$G$171</f>
        <v/>
      </c>
      <c r="C84" s="21">
        <f>C$50*Assumptions!$G$171</f>
        <v/>
      </c>
      <c r="D84" s="21">
        <f>D$50*Assumptions!$G$171</f>
        <v/>
      </c>
      <c r="E84" s="21">
        <f>E$50*Assumptions!$G$171</f>
        <v/>
      </c>
      <c r="F84" s="21">
        <f>F$50*Assumptions!$G$171</f>
        <v/>
      </c>
      <c r="G84" s="21">
        <f>G$50*Assumptions!$G$171</f>
        <v/>
      </c>
      <c r="H84" s="21">
        <f>H$50*Assumptions!$G$171</f>
        <v/>
      </c>
      <c r="I84" s="21">
        <f>I$50*Assumptions!$G$171</f>
        <v/>
      </c>
      <c r="J84" s="21">
        <f>J$50*Assumptions!$G$171</f>
        <v/>
      </c>
      <c r="K84" s="21">
        <f>K$50*Assumptions!$G$171</f>
        <v/>
      </c>
      <c r="L84" s="53">
        <f>L$50*Assumptions!$G$171</f>
        <v/>
      </c>
      <c r="M84" s="21">
        <f>SUM(B84:K84)</f>
        <v/>
      </c>
    </row>
    <row r="85">
      <c r="A85" s="37" t="inlineStr">
        <is>
          <t>Workshop teachers and materials</t>
        </is>
      </c>
      <c r="B85" s="21">
        <f>B$54*Assumptions!$G$172</f>
        <v/>
      </c>
      <c r="C85" s="21">
        <f>C$54*Assumptions!$G$172</f>
        <v/>
      </c>
      <c r="D85" s="21">
        <f>D$54*Assumptions!$G$172</f>
        <v/>
      </c>
      <c r="E85" s="21">
        <f>E$54*Assumptions!$G$172</f>
        <v/>
      </c>
      <c r="F85" s="21">
        <f>F$54*Assumptions!$G$172</f>
        <v/>
      </c>
      <c r="G85" s="21">
        <f>G$54*Assumptions!$G$172</f>
        <v/>
      </c>
      <c r="H85" s="21">
        <f>H$54*Assumptions!$G$172</f>
        <v/>
      </c>
      <c r="I85" s="21">
        <f>I$54*Assumptions!$G$172</f>
        <v/>
      </c>
      <c r="J85" s="21">
        <f>J$54*Assumptions!$G$172</f>
        <v/>
      </c>
      <c r="K85" s="21">
        <f>K$54*Assumptions!$G$172</f>
        <v/>
      </c>
      <c r="L85" s="53">
        <f>L$54*Assumptions!$G$172</f>
        <v/>
      </c>
      <c r="M85" s="21">
        <f>SUM(B85:K85)</f>
        <v/>
      </c>
    </row>
    <row r="86">
      <c r="A86" s="37" t="inlineStr">
        <is>
          <t>Food and beverage cost of sales</t>
        </is>
      </c>
      <c r="B86" s="21">
        <f>B$47*Assumptions!$G$173</f>
        <v/>
      </c>
      <c r="C86" s="21">
        <f>C$47*Assumptions!$G$173</f>
        <v/>
      </c>
      <c r="D86" s="21">
        <f>D$47*Assumptions!$G$173</f>
        <v/>
      </c>
      <c r="E86" s="21">
        <f>E$47*Assumptions!$G$173</f>
        <v/>
      </c>
      <c r="F86" s="21">
        <f>F$47*Assumptions!$G$173</f>
        <v/>
      </c>
      <c r="G86" s="21">
        <f>G$47*Assumptions!$G$173</f>
        <v/>
      </c>
      <c r="H86" s="21">
        <f>H$47*Assumptions!$G$173</f>
        <v/>
      </c>
      <c r="I86" s="21">
        <f>I$47*Assumptions!$G$173</f>
        <v/>
      </c>
      <c r="J86" s="21">
        <f>J$47*Assumptions!$G$173</f>
        <v/>
      </c>
      <c r="K86" s="21">
        <f>K$47*Assumptions!$G$173</f>
        <v/>
      </c>
      <c r="L86" s="53">
        <f>L$47*Assumptions!$G$173</f>
        <v/>
      </c>
      <c r="M86" s="21">
        <f>SUM(B86:K86)</f>
        <v/>
      </c>
    </row>
    <row r="87">
      <c r="A87" s="37" t="inlineStr">
        <is>
          <t>Cabin supplies, linens and laundry</t>
        </is>
      </c>
      <c r="B87" s="21">
        <f>B$39*Assumptions!$G$174*B$18</f>
        <v/>
      </c>
      <c r="C87" s="21">
        <f>C$39*Assumptions!$G$174*C$18</f>
        <v/>
      </c>
      <c r="D87" s="21">
        <f>D$39*Assumptions!$G$174*D$18</f>
        <v/>
      </c>
      <c r="E87" s="21">
        <f>E$39*Assumptions!$G$174*E$18</f>
        <v/>
      </c>
      <c r="F87" s="21">
        <f>F$39*Assumptions!$G$174*F$18</f>
        <v/>
      </c>
      <c r="G87" s="21">
        <f>G$39*Assumptions!$G$174*G$18</f>
        <v/>
      </c>
      <c r="H87" s="21">
        <f>H$39*Assumptions!$G$174*H$18</f>
        <v/>
      </c>
      <c r="I87" s="21">
        <f>I$39*Assumptions!$G$174*I$18</f>
        <v/>
      </c>
      <c r="J87" s="21">
        <f>J$39*Assumptions!$G$174*J$18</f>
        <v/>
      </c>
      <c r="K87" s="21">
        <f>K$39*Assumptions!$G$174*K$18</f>
        <v/>
      </c>
      <c r="L87" s="53">
        <f>L$39*Assumptions!$G$174*L$18</f>
        <v/>
      </c>
      <c r="M87" s="21">
        <f>SUM(B87:K87)</f>
        <v/>
      </c>
    </row>
    <row r="88">
      <c r="A88" s="37" t="inlineStr">
        <is>
          <t>Gallery program and conservation</t>
        </is>
      </c>
      <c r="B88" s="21">
        <f>Assumptions!$G$164*B$10*B$18</f>
        <v/>
      </c>
      <c r="C88" s="21">
        <f>Assumptions!$G$164*C$10*C$18</f>
        <v/>
      </c>
      <c r="D88" s="21">
        <f>Assumptions!$G$164*D$10*D$18</f>
        <v/>
      </c>
      <c r="E88" s="21">
        <f>Assumptions!$G$164*E$10*E$18</f>
        <v/>
      </c>
      <c r="F88" s="21">
        <f>Assumptions!$G$164*F$10*F$18</f>
        <v/>
      </c>
      <c r="G88" s="21">
        <f>Assumptions!$G$164*G$10*G$18</f>
        <v/>
      </c>
      <c r="H88" s="21">
        <f>Assumptions!$G$164*H$10*H$18</f>
        <v/>
      </c>
      <c r="I88" s="21">
        <f>Assumptions!$G$164*I$10*I$18</f>
        <v/>
      </c>
      <c r="J88" s="21">
        <f>Assumptions!$G$164*J$10*J$18</f>
        <v/>
      </c>
      <c r="K88" s="21">
        <f>Assumptions!$G$164*K$10*K$18</f>
        <v/>
      </c>
      <c r="L88" s="53">
        <f>Assumptions!$G$164*L$10*L$18</f>
        <v/>
      </c>
      <c r="M88" s="21">
        <f>SUM(B88:K88)</f>
        <v/>
      </c>
    </row>
    <row r="89">
      <c r="A89" s="37" t="inlineStr">
        <is>
          <t>Utilities</t>
        </is>
      </c>
      <c r="B89" s="21">
        <f>(Assumptions!$G$175*B$8+Assumptions!$G$176*B$9+Assumptions!$G$177*B$10)*B$18</f>
        <v/>
      </c>
      <c r="C89" s="21">
        <f>(Assumptions!$G$175*C$8+Assumptions!$G$176*C$9+Assumptions!$G$177*C$10)*C$18</f>
        <v/>
      </c>
      <c r="D89" s="21">
        <f>(Assumptions!$G$175*D$8+Assumptions!$G$176*D$9+Assumptions!$G$177*D$10)*D$18</f>
        <v/>
      </c>
      <c r="E89" s="21">
        <f>(Assumptions!$G$175*E$8+Assumptions!$G$176*E$9+Assumptions!$G$177*E$10)*E$18</f>
        <v/>
      </c>
      <c r="F89" s="21">
        <f>(Assumptions!$G$175*F$8+Assumptions!$G$176*F$9+Assumptions!$G$177*F$10)*F$18</f>
        <v/>
      </c>
      <c r="G89" s="21">
        <f>(Assumptions!$G$175*G$8+Assumptions!$G$176*G$9+Assumptions!$G$177*G$10)*G$18</f>
        <v/>
      </c>
      <c r="H89" s="21">
        <f>(Assumptions!$G$175*H$8+Assumptions!$G$176*H$9+Assumptions!$G$177*H$10)*H$18</f>
        <v/>
      </c>
      <c r="I89" s="21">
        <f>(Assumptions!$G$175*I$8+Assumptions!$G$176*I$9+Assumptions!$G$177*I$10)*I$18</f>
        <v/>
      </c>
      <c r="J89" s="21">
        <f>(Assumptions!$G$175*J$8+Assumptions!$G$176*J$9+Assumptions!$G$177*J$10)*J$18</f>
        <v/>
      </c>
      <c r="K89" s="21">
        <f>(Assumptions!$G$175*K$8+Assumptions!$G$176*K$9+Assumptions!$G$177*K$10)*K$18</f>
        <v/>
      </c>
      <c r="L89" s="53">
        <f>(Assumptions!$G$175*L$8+Assumptions!$G$176*L$9+Assumptions!$G$177*L$10)*L$18</f>
        <v/>
      </c>
      <c r="M89" s="21">
        <f>SUM(B89:K89)</f>
        <v/>
      </c>
    </row>
    <row r="90">
      <c r="A90" s="37" t="inlineStr">
        <is>
          <t>Repairs and maintenance</t>
        </is>
      </c>
      <c r="B90" s="21">
        <f>Assumptions!$G$178*B$43*B$18</f>
        <v/>
      </c>
      <c r="C90" s="21">
        <f>Assumptions!$G$178*C$43*C$18</f>
        <v/>
      </c>
      <c r="D90" s="21">
        <f>Assumptions!$G$178*D$43*D$18</f>
        <v/>
      </c>
      <c r="E90" s="21">
        <f>Assumptions!$G$178*E$43*E$18</f>
        <v/>
      </c>
      <c r="F90" s="21">
        <f>Assumptions!$G$178*F$43*F$18</f>
        <v/>
      </c>
      <c r="G90" s="21">
        <f>Assumptions!$G$178*G$43*G$18</f>
        <v/>
      </c>
      <c r="H90" s="21">
        <f>Assumptions!$G$178*H$43*H$18</f>
        <v/>
      </c>
      <c r="I90" s="21">
        <f>Assumptions!$G$178*I$43*I$18</f>
        <v/>
      </c>
      <c r="J90" s="21">
        <f>Assumptions!$G$178*J$43*J$18</f>
        <v/>
      </c>
      <c r="K90" s="21">
        <f>Assumptions!$G$178*K$43*K$18</f>
        <v/>
      </c>
      <c r="L90" s="53">
        <f>Assumptions!$G$178*L$43*L$18</f>
        <v/>
      </c>
      <c r="M90" s="21">
        <f>SUM(B90:K90)</f>
        <v/>
      </c>
    </row>
    <row r="91">
      <c r="A91" s="37" t="inlineStr">
        <is>
          <t>Property and wildfire insurance (very high fire hazard zone)</t>
        </is>
      </c>
      <c r="B91" s="21">
        <f>Assumptions!$G$179*B$43*B$18</f>
        <v/>
      </c>
      <c r="C91" s="21">
        <f>Assumptions!$G$179*C$43*C$18</f>
        <v/>
      </c>
      <c r="D91" s="21">
        <f>Assumptions!$G$179*D$43*D$18</f>
        <v/>
      </c>
      <c r="E91" s="21">
        <f>Assumptions!$G$179*E$43*E$18</f>
        <v/>
      </c>
      <c r="F91" s="21">
        <f>Assumptions!$G$179*F$43*F$18</f>
        <v/>
      </c>
      <c r="G91" s="21">
        <f>Assumptions!$G$179*G$43*G$18</f>
        <v/>
      </c>
      <c r="H91" s="21">
        <f>Assumptions!$G$179*H$43*H$18</f>
        <v/>
      </c>
      <c r="I91" s="21">
        <f>Assumptions!$G$179*I$43*I$18</f>
        <v/>
      </c>
      <c r="J91" s="21">
        <f>Assumptions!$G$179*J$43*J$18</f>
        <v/>
      </c>
      <c r="K91" s="21">
        <f>Assumptions!$G$179*K$43*K$18</f>
        <v/>
      </c>
      <c r="L91" s="53">
        <f>Assumptions!$G$179*L$43*L$18</f>
        <v/>
      </c>
      <c r="M91" s="21">
        <f>SUM(B91:K91)</f>
        <v/>
      </c>
      <c r="N91" s="54" t="inlineStr">
        <is>
          <t>Very high fire hazard zone; broker quote needed</t>
        </is>
      </c>
    </row>
    <row r="92">
      <c r="A92" s="37" t="inlineStr">
        <is>
          <t>Liability, liquor, events, D&amp;O (and land before opening)</t>
        </is>
      </c>
      <c r="B92" s="21">
        <f>(Assumptions!$G$180*B$8+Assumptions!$G$181*B$11*B$13)*B$18</f>
        <v/>
      </c>
      <c r="C92" s="21">
        <f>(Assumptions!$G$180*C$8+Assumptions!$G$181*C$11*C$13)*C$18</f>
        <v/>
      </c>
      <c r="D92" s="21">
        <f>(Assumptions!$G$180*D$8+Assumptions!$G$181*D$11*D$13)*D$18</f>
        <v/>
      </c>
      <c r="E92" s="21">
        <f>(Assumptions!$G$180*E$8+Assumptions!$G$181*E$11*E$13)*E$18</f>
        <v/>
      </c>
      <c r="F92" s="21">
        <f>(Assumptions!$G$180*F$8+Assumptions!$G$181*F$11*F$13)*F$18</f>
        <v/>
      </c>
      <c r="G92" s="21">
        <f>(Assumptions!$G$180*G$8+Assumptions!$G$181*G$11*G$13)*G$18</f>
        <v/>
      </c>
      <c r="H92" s="21">
        <f>(Assumptions!$G$180*H$8+Assumptions!$G$181*H$11*H$13)*H$18</f>
        <v/>
      </c>
      <c r="I92" s="21">
        <f>(Assumptions!$G$180*I$8+Assumptions!$G$181*I$11*I$13)*I$18</f>
        <v/>
      </c>
      <c r="J92" s="21">
        <f>(Assumptions!$G$180*J$8+Assumptions!$G$181*J$11*J$13)*J$18</f>
        <v/>
      </c>
      <c r="K92" s="21">
        <f>(Assumptions!$G$180*K$8+Assumptions!$G$181*K$11*K$13)*K$18</f>
        <v/>
      </c>
      <c r="L92" s="53">
        <f>(Assumptions!$G$180*L$8+Assumptions!$G$181*L$11*L$13)*L$18</f>
        <v/>
      </c>
      <c r="M92" s="21">
        <f>SUM(B92:K92)</f>
        <v/>
      </c>
    </row>
    <row r="93">
      <c r="A93" s="37" t="inlineStr">
        <is>
          <t>Property tax (incl. fixed charges)</t>
        </is>
      </c>
      <c r="B93" s="21">
        <f>Assumptions!$G$182*B$44*(1-Assumptions!$G$184)+Assumptions!$G$183*B$13</f>
        <v/>
      </c>
      <c r="C93" s="21">
        <f>Assumptions!$G$182*C$44*(1-Assumptions!$G$184)+Assumptions!$G$183*C$13</f>
        <v/>
      </c>
      <c r="D93" s="21">
        <f>Assumptions!$G$182*D$44*(1-Assumptions!$G$184)+Assumptions!$G$183*D$13</f>
        <v/>
      </c>
      <c r="E93" s="21">
        <f>Assumptions!$G$182*E$44*(1-Assumptions!$G$184)+Assumptions!$G$183*E$13</f>
        <v/>
      </c>
      <c r="F93" s="21">
        <f>Assumptions!$G$182*F$44*(1-Assumptions!$G$184)+Assumptions!$G$183*F$13</f>
        <v/>
      </c>
      <c r="G93" s="21">
        <f>Assumptions!$G$182*G$44*(1-Assumptions!$G$184)+Assumptions!$G$183*G$13</f>
        <v/>
      </c>
      <c r="H93" s="21">
        <f>Assumptions!$G$182*H$44*(1-Assumptions!$G$184)+Assumptions!$G$183*H$13</f>
        <v/>
      </c>
      <c r="I93" s="21">
        <f>Assumptions!$G$182*I$44*(1-Assumptions!$G$184)+Assumptions!$G$183*I$13</f>
        <v/>
      </c>
      <c r="J93" s="21">
        <f>Assumptions!$G$182*J$44*(1-Assumptions!$G$184)+Assumptions!$G$183*J$13</f>
        <v/>
      </c>
      <c r="K93" s="21">
        <f>Assumptions!$G$182*K$44*(1-Assumptions!$G$184)+Assumptions!$G$183*K$13</f>
        <v/>
      </c>
      <c r="L93" s="53">
        <f>Assumptions!$G$182*L$44*(1-Assumptions!$G$184)+Assumptions!$G$183*L$13</f>
        <v/>
      </c>
      <c r="M93" s="21">
        <f>SUM(B93:K93)</f>
        <v/>
      </c>
      <c r="N93" s="54" t="inlineStr">
        <is>
          <t>Taxable under the draft hybrid; welfare exemption is a lever</t>
        </is>
      </c>
    </row>
    <row r="94">
      <c r="A94" s="37" t="inlineStr">
        <is>
          <t>Marketing and sales</t>
        </is>
      </c>
      <c r="B94" s="21">
        <f>Assumptions!$G$185*B$8*B$18</f>
        <v/>
      </c>
      <c r="C94" s="21">
        <f>Assumptions!$G$185*C$8*C$18</f>
        <v/>
      </c>
      <c r="D94" s="21">
        <f>Assumptions!$G$185*D$8*D$18</f>
        <v/>
      </c>
      <c r="E94" s="21">
        <f>Assumptions!$G$185*E$8*E$18</f>
        <v/>
      </c>
      <c r="F94" s="21">
        <f>Assumptions!$G$185*F$8*F$18</f>
        <v/>
      </c>
      <c r="G94" s="21">
        <f>Assumptions!$G$185*G$8*G$18</f>
        <v/>
      </c>
      <c r="H94" s="21">
        <f>Assumptions!$G$185*H$8*H$18</f>
        <v/>
      </c>
      <c r="I94" s="21">
        <f>Assumptions!$G$185*I$8*I$18</f>
        <v/>
      </c>
      <c r="J94" s="21">
        <f>Assumptions!$G$185*J$8*J$18</f>
        <v/>
      </c>
      <c r="K94" s="21">
        <f>Assumptions!$G$185*K$8*K$18</f>
        <v/>
      </c>
      <c r="L94" s="53">
        <f>Assumptions!$G$185*L$8*L$18</f>
        <v/>
      </c>
      <c r="M94" s="21">
        <f>SUM(B94:K94)</f>
        <v/>
      </c>
    </row>
    <row r="95">
      <c r="A95" s="37" t="inlineStr">
        <is>
          <t>General and administrative (legal, audit, IT, office)</t>
        </is>
      </c>
      <c r="B95" s="21">
        <f>Assumptions!$G$186*B$8*B$18</f>
        <v/>
      </c>
      <c r="C95" s="21">
        <f>Assumptions!$G$186*C$8*C$18</f>
        <v/>
      </c>
      <c r="D95" s="21">
        <f>Assumptions!$G$186*D$8*D$18</f>
        <v/>
      </c>
      <c r="E95" s="21">
        <f>Assumptions!$G$186*E$8*E$18</f>
        <v/>
      </c>
      <c r="F95" s="21">
        <f>Assumptions!$G$186*F$8*F$18</f>
        <v/>
      </c>
      <c r="G95" s="21">
        <f>Assumptions!$G$186*G$8*G$18</f>
        <v/>
      </c>
      <c r="H95" s="21">
        <f>Assumptions!$G$186*H$8*H$18</f>
        <v/>
      </c>
      <c r="I95" s="21">
        <f>Assumptions!$G$186*I$8*I$18</f>
        <v/>
      </c>
      <c r="J95" s="21">
        <f>Assumptions!$G$186*J$8*J$18</f>
        <v/>
      </c>
      <c r="K95" s="21">
        <f>Assumptions!$G$186*K$8*K$18</f>
        <v/>
      </c>
      <c r="L95" s="53">
        <f>Assumptions!$G$186*L$8*L$18</f>
        <v/>
      </c>
      <c r="M95" s="21">
        <f>SUM(B95:K95)</f>
        <v/>
      </c>
    </row>
    <row r="96">
      <c r="A96" s="37" t="inlineStr">
        <is>
          <t>Payment and booking fees</t>
        </is>
      </c>
      <c r="B96" s="21">
        <f>B$58*Assumptions!$G$187</f>
        <v/>
      </c>
      <c r="C96" s="21">
        <f>C$58*Assumptions!$G$187</f>
        <v/>
      </c>
      <c r="D96" s="21">
        <f>D$58*Assumptions!$G$187</f>
        <v/>
      </c>
      <c r="E96" s="21">
        <f>E$58*Assumptions!$G$187</f>
        <v/>
      </c>
      <c r="F96" s="21">
        <f>F$58*Assumptions!$G$187</f>
        <v/>
      </c>
      <c r="G96" s="21">
        <f>G$58*Assumptions!$G$187</f>
        <v/>
      </c>
      <c r="H96" s="21">
        <f>H$58*Assumptions!$G$187</f>
        <v/>
      </c>
      <c r="I96" s="21">
        <f>I$58*Assumptions!$G$187</f>
        <v/>
      </c>
      <c r="J96" s="21">
        <f>J$58*Assumptions!$G$187</f>
        <v/>
      </c>
      <c r="K96" s="21">
        <f>K$58*Assumptions!$G$187</f>
        <v/>
      </c>
      <c r="L96" s="53">
        <f>L$58*Assumptions!$G$187</f>
        <v/>
      </c>
      <c r="M96" s="21">
        <f>SUM(B96:K96)</f>
        <v/>
      </c>
    </row>
    <row r="97">
      <c r="A97" s="37" t="inlineStr">
        <is>
          <t>Replacement reserve (cabins, gear)</t>
        </is>
      </c>
      <c r="B97" s="21">
        <f>B$58*Assumptions!$G$188</f>
        <v/>
      </c>
      <c r="C97" s="21">
        <f>C$58*Assumptions!$G$188</f>
        <v/>
      </c>
      <c r="D97" s="21">
        <f>D$58*Assumptions!$G$188</f>
        <v/>
      </c>
      <c r="E97" s="21">
        <f>E$58*Assumptions!$G$188</f>
        <v/>
      </c>
      <c r="F97" s="21">
        <f>F$58*Assumptions!$G$188</f>
        <v/>
      </c>
      <c r="G97" s="21">
        <f>G$58*Assumptions!$G$188</f>
        <v/>
      </c>
      <c r="H97" s="21">
        <f>H$58*Assumptions!$G$188</f>
        <v/>
      </c>
      <c r="I97" s="21">
        <f>I$58*Assumptions!$G$188</f>
        <v/>
      </c>
      <c r="J97" s="21">
        <f>J$58*Assumptions!$G$188</f>
        <v/>
      </c>
      <c r="K97" s="21">
        <f>K$58*Assumptions!$G$188</f>
        <v/>
      </c>
      <c r="L97" s="53">
        <f>L$58*Assumptions!$G$188</f>
        <v/>
      </c>
      <c r="M97" s="21">
        <f>SUM(B97:K97)</f>
        <v/>
      </c>
    </row>
    <row r="98">
      <c r="A98" s="37" t="inlineStr">
        <is>
          <t>Stage 0 pilot program (pilot residencies, pop-ups)</t>
        </is>
      </c>
      <c r="B98" s="21">
        <f>Assumptions!$G$165*B$11*B$18</f>
        <v/>
      </c>
      <c r="C98" s="21">
        <f>Assumptions!$G$165*C$11*C$18</f>
        <v/>
      </c>
      <c r="D98" s="21">
        <f>Assumptions!$G$165*D$11*D$18</f>
        <v/>
      </c>
      <c r="E98" s="21">
        <f>Assumptions!$G$165*E$11*E$18</f>
        <v/>
      </c>
      <c r="F98" s="21">
        <f>Assumptions!$G$165*F$11*F$18</f>
        <v/>
      </c>
      <c r="G98" s="21">
        <f>Assumptions!$G$165*G$11*G$18</f>
        <v/>
      </c>
      <c r="H98" s="21">
        <f>Assumptions!$G$165*H$11*H$18</f>
        <v/>
      </c>
      <c r="I98" s="21">
        <f>Assumptions!$G$165*I$11*I$18</f>
        <v/>
      </c>
      <c r="J98" s="21">
        <f>Assumptions!$G$165*J$11*J$18</f>
        <v/>
      </c>
      <c r="K98" s="21">
        <f>Assumptions!$G$165*K$11*K$18</f>
        <v/>
      </c>
      <c r="L98" s="53">
        <f>Assumptions!$G$165*L$11*L$18</f>
        <v/>
      </c>
      <c r="M98" s="21">
        <f>SUM(B98:K98)</f>
        <v/>
      </c>
    </row>
    <row r="99">
      <c r="A99" s="61" t="inlineStr">
        <is>
          <t>TOTAL OPERATING EXPENSES</t>
        </is>
      </c>
      <c r="B99" s="62">
        <f>B$76+SUM(B77:B98)</f>
        <v/>
      </c>
      <c r="C99" s="62">
        <f>C$76+SUM(C77:C98)</f>
        <v/>
      </c>
      <c r="D99" s="62">
        <f>D$76+SUM(D77:D98)</f>
        <v/>
      </c>
      <c r="E99" s="62">
        <f>E$76+SUM(E77:E98)</f>
        <v/>
      </c>
      <c r="F99" s="62">
        <f>F$76+SUM(F77:F98)</f>
        <v/>
      </c>
      <c r="G99" s="62">
        <f>G$76+SUM(G77:G98)</f>
        <v/>
      </c>
      <c r="H99" s="62">
        <f>H$76+SUM(H77:H98)</f>
        <v/>
      </c>
      <c r="I99" s="62">
        <f>I$76+SUM(I77:I98)</f>
        <v/>
      </c>
      <c r="J99" s="62">
        <f>J$76+SUM(J77:J98)</f>
        <v/>
      </c>
      <c r="K99" s="62">
        <f>K$76+SUM(K77:K98)</f>
        <v/>
      </c>
      <c r="L99" s="63">
        <f>L$76+SUM(L77:L98)</f>
        <v/>
      </c>
      <c r="M99" s="62">
        <f>SUM(B99:K99)</f>
        <v/>
      </c>
    </row>
    <row r="100">
      <c r="A100" s="7" t="inlineStr">
        <is>
          <t>RESULTS</t>
        </is>
      </c>
      <c r="B100" s="8" t="n"/>
      <c r="C100" s="8" t="n"/>
      <c r="D100" s="8" t="n"/>
      <c r="E100" s="8" t="n"/>
      <c r="F100" s="8" t="n"/>
      <c r="G100" s="8" t="n"/>
      <c r="H100" s="8" t="n"/>
      <c r="I100" s="8" t="n"/>
      <c r="J100" s="8" t="n"/>
      <c r="K100" s="8" t="n"/>
      <c r="L100" s="8" t="n"/>
      <c r="M100" s="8" t="n"/>
      <c r="N100" s="8" t="n"/>
    </row>
    <row r="101">
      <c r="A101" s="61" t="inlineStr">
        <is>
          <t>NET OPERATING RESULT, earned revenue only (EBITDA)</t>
        </is>
      </c>
      <c r="B101" s="62">
        <f>B$58-B$99</f>
        <v/>
      </c>
      <c r="C101" s="62">
        <f>C$58-C$99</f>
        <v/>
      </c>
      <c r="D101" s="62">
        <f>D$58-D$99</f>
        <v/>
      </c>
      <c r="E101" s="62">
        <f>E$58-E$99</f>
        <v/>
      </c>
      <c r="F101" s="62">
        <f>F$58-F$99</f>
        <v/>
      </c>
      <c r="G101" s="62">
        <f>G$58-G$99</f>
        <v/>
      </c>
      <c r="H101" s="62">
        <f>H$58-H$99</f>
        <v/>
      </c>
      <c r="I101" s="62">
        <f>I$58-I$99</f>
        <v/>
      </c>
      <c r="J101" s="62">
        <f>J$58-J$99</f>
        <v/>
      </c>
      <c r="K101" s="62">
        <f>K$58-K$99</f>
        <v/>
      </c>
      <c r="L101" s="63">
        <f>L$58-L$99</f>
        <v/>
      </c>
      <c r="M101" s="62">
        <f>SUM(B101:K101)</f>
        <v/>
      </c>
    </row>
    <row r="102">
      <c r="A102" s="61" t="inlineStr">
        <is>
          <t>NET RESULT AFTER CONTRIBUTED INCOME</t>
        </is>
      </c>
      <c r="B102" s="62">
        <f>B$101+B$64</f>
        <v/>
      </c>
      <c r="C102" s="62">
        <f>C$101+C$64</f>
        <v/>
      </c>
      <c r="D102" s="62">
        <f>D$101+D$64</f>
        <v/>
      </c>
      <c r="E102" s="62">
        <f>E$101+E$64</f>
        <v/>
      </c>
      <c r="F102" s="62">
        <f>F$101+F$64</f>
        <v/>
      </c>
      <c r="G102" s="62">
        <f>G$101+G$64</f>
        <v/>
      </c>
      <c r="H102" s="62">
        <f>H$101+H$64</f>
        <v/>
      </c>
      <c r="I102" s="62">
        <f>I$101+I$64</f>
        <v/>
      </c>
      <c r="J102" s="62">
        <f>J$101+J$64</f>
        <v/>
      </c>
      <c r="K102" s="62">
        <f>K$101+K$64</f>
        <v/>
      </c>
      <c r="L102" s="63">
        <f>L$101+L$64</f>
        <v/>
      </c>
      <c r="M102" s="62">
        <f>SUM(B102:K102)</f>
        <v/>
      </c>
    </row>
    <row r="103">
      <c r="A103" s="37" t="inlineStr">
        <is>
          <t>Capital and pre-opening uses (Capex sheet)</t>
        </is>
      </c>
      <c r="B103" s="21">
        <f>Capex!D136</f>
        <v/>
      </c>
      <c r="C103" s="21">
        <f>Capex!E136</f>
        <v/>
      </c>
      <c r="D103" s="21">
        <f>Capex!F136</f>
        <v/>
      </c>
      <c r="E103" s="21">
        <f>Capex!G136</f>
        <v/>
      </c>
      <c r="F103" s="21">
        <f>Capex!H136</f>
        <v/>
      </c>
      <c r="G103" s="21">
        <f>Capex!I136</f>
        <v/>
      </c>
      <c r="H103" s="21">
        <f>Capex!J136</f>
        <v/>
      </c>
      <c r="I103" s="21">
        <f>Capex!K136</f>
        <v/>
      </c>
      <c r="J103" s="21">
        <f>Capex!L136</f>
        <v/>
      </c>
      <c r="K103" s="21">
        <f>Capex!M136</f>
        <v/>
      </c>
      <c r="M103" s="21">
        <f>SUM(B103:K103)</f>
        <v/>
      </c>
      <c r="N103" s="54" t="inlineStr">
        <is>
          <t>From the Capex sheet; land, build, pre-opening, overhead</t>
        </is>
      </c>
    </row>
    <row r="104">
      <c r="A104" s="37" t="inlineStr">
        <is>
          <t>Net cash flow before financing</t>
        </is>
      </c>
      <c r="B104" s="21">
        <f>B$102-B$103</f>
        <v/>
      </c>
      <c r="C104" s="21">
        <f>C$102-C$103</f>
        <v/>
      </c>
      <c r="D104" s="21">
        <f>D$102-D$103</f>
        <v/>
      </c>
      <c r="E104" s="21">
        <f>E$102-E$103</f>
        <v/>
      </c>
      <c r="F104" s="21">
        <f>F$102-F$103</f>
        <v/>
      </c>
      <c r="G104" s="21">
        <f>G$102-G$103</f>
        <v/>
      </c>
      <c r="H104" s="21">
        <f>H$102-H$103</f>
        <v/>
      </c>
      <c r="I104" s="21">
        <f>I$102-I$103</f>
        <v/>
      </c>
      <c r="J104" s="21">
        <f>J$102-J$103</f>
        <v/>
      </c>
      <c r="K104" s="21">
        <f>K$102-K$103</f>
        <v/>
      </c>
      <c r="M104" s="21">
        <f>SUM(B104:K104)</f>
        <v/>
      </c>
    </row>
    <row r="105">
      <c r="A105" s="61" t="inlineStr">
        <is>
          <t>CUMULATIVE CASH BEFORE FINANCING</t>
        </is>
      </c>
      <c r="B105" s="62">
        <f>B$104</f>
        <v/>
      </c>
      <c r="C105" s="62">
        <f>B105+C$104</f>
        <v/>
      </c>
      <c r="D105" s="62">
        <f>C105+D$104</f>
        <v/>
      </c>
      <c r="E105" s="62">
        <f>D105+E$104</f>
        <v/>
      </c>
      <c r="F105" s="62">
        <f>E105+F$104</f>
        <v/>
      </c>
      <c r="G105" s="62">
        <f>F105+G$104</f>
        <v/>
      </c>
      <c r="H105" s="62">
        <f>G105+H$104</f>
        <v/>
      </c>
      <c r="I105" s="62">
        <f>H105+I$104</f>
        <v/>
      </c>
      <c r="J105" s="62">
        <f>I105+J$104</f>
        <v/>
      </c>
      <c r="K105" s="62">
        <f>J105+K$104</f>
        <v/>
      </c>
      <c r="L105" s="68" t="n"/>
      <c r="M105" s="69" t="n"/>
      <c r="N105" s="54" t="inlineStr">
        <is>
          <t>Before debt, equity and gifts for capital</t>
        </is>
      </c>
    </row>
    <row r="106">
      <c r="A106" s="7" t="inlineStr">
        <is>
          <t>MEMO AND CHECKS</t>
        </is>
      </c>
      <c r="B106" s="8" t="n"/>
      <c r="C106" s="8" t="n"/>
      <c r="D106" s="8" t="n"/>
      <c r="E106" s="8" t="n"/>
      <c r="F106" s="8" t="n"/>
      <c r="G106" s="8" t="n"/>
      <c r="H106" s="8" t="n"/>
      <c r="I106" s="8" t="n"/>
      <c r="J106" s="8" t="n"/>
      <c r="K106" s="8" t="n"/>
      <c r="L106" s="8" t="n"/>
      <c r="M106" s="8" t="n"/>
      <c r="N106" s="8" t="n"/>
    </row>
    <row r="107">
      <c r="A107" s="37" t="inlineStr">
        <is>
          <t>TOT collected and remitted on billed cabin nights (memo, not revenue)</t>
        </is>
      </c>
      <c r="B107" s="21">
        <f>B$46*Assumptions!$G$103</f>
        <v/>
      </c>
      <c r="C107" s="21">
        <f>C$46*Assumptions!$G$103</f>
        <v/>
      </c>
      <c r="D107" s="21">
        <f>D$46*Assumptions!$G$103</f>
        <v/>
      </c>
      <c r="E107" s="21">
        <f>E$46*Assumptions!$G$103</f>
        <v/>
      </c>
      <c r="F107" s="21">
        <f>F$46*Assumptions!$G$103</f>
        <v/>
      </c>
      <c r="G107" s="21">
        <f>G$46*Assumptions!$G$103</f>
        <v/>
      </c>
      <c r="H107" s="21">
        <f>H$46*Assumptions!$G$103</f>
        <v/>
      </c>
      <c r="I107" s="21">
        <f>I$46*Assumptions!$G$103</f>
        <v/>
      </c>
      <c r="J107" s="21">
        <f>J$46*Assumptions!$G$103</f>
        <v/>
      </c>
      <c r="K107" s="21">
        <f>K$46*Assumptions!$G$103</f>
        <v/>
      </c>
      <c r="L107" s="53">
        <f>L$46*Assumptions!$G$103</f>
        <v/>
      </c>
      <c r="M107" s="21">
        <f>SUM(B107:K107)</f>
        <v/>
      </c>
    </row>
    <row r="108">
      <c r="A108" s="37" t="inlineStr">
        <is>
          <t>Billed cabin revenue per available cabin night (retreat lodging sits inside the all-in price)</t>
        </is>
      </c>
      <c r="B108" s="21">
        <f>IF(B$21&gt;0,B$46/B$21,0)</f>
        <v/>
      </c>
      <c r="C108" s="21">
        <f>IF(C$21&gt;0,C$46/C$21,0)</f>
        <v/>
      </c>
      <c r="D108" s="21">
        <f>IF(D$21&gt;0,D$46/D$21,0)</f>
        <v/>
      </c>
      <c r="E108" s="21">
        <f>IF(E$21&gt;0,E$46/E$21,0)</f>
        <v/>
      </c>
      <c r="F108" s="21">
        <f>IF(F$21&gt;0,F$46/F$21,0)</f>
        <v/>
      </c>
      <c r="G108" s="21">
        <f>IF(G$21&gt;0,G$46/G$21,0)</f>
        <v/>
      </c>
      <c r="H108" s="21">
        <f>IF(H$21&gt;0,H$46/H$21,0)</f>
        <v/>
      </c>
      <c r="I108" s="21">
        <f>IF(I$21&gt;0,I$46/I$21,0)</f>
        <v/>
      </c>
      <c r="J108" s="21">
        <f>IF(J$21&gt;0,J$46/J$21,0)</f>
        <v/>
      </c>
      <c r="K108" s="21">
        <f>IF(K$21&gt;0,K$46/K$21,0)</f>
        <v/>
      </c>
      <c r="L108" s="53">
        <f>IF(L$21&gt;0,L$46/L$21,0)</f>
        <v/>
      </c>
    </row>
    <row r="109">
      <c r="A109" s="37" t="inlineStr">
        <is>
          <t>Break-even test, earned only (year or 9999)</t>
        </is>
      </c>
      <c r="B109" s="21">
        <f>IF(AND(B$7&gt;=1,B$101&gt;=0),B$6,9999)</f>
        <v/>
      </c>
      <c r="C109" s="21">
        <f>IF(AND(C$7&gt;=1,C$101&gt;=0),C$6,9999)</f>
        <v/>
      </c>
      <c r="D109" s="21">
        <f>IF(AND(D$7&gt;=1,D$101&gt;=0),D$6,9999)</f>
        <v/>
      </c>
      <c r="E109" s="21">
        <f>IF(AND(E$7&gt;=1,E$101&gt;=0),E$6,9999)</f>
        <v/>
      </c>
      <c r="F109" s="21">
        <f>IF(AND(F$7&gt;=1,F$101&gt;=0),F$6,9999)</f>
        <v/>
      </c>
      <c r="G109" s="21">
        <f>IF(AND(G$7&gt;=1,G$101&gt;=0),G$6,9999)</f>
        <v/>
      </c>
      <c r="H109" s="21">
        <f>IF(AND(H$7&gt;=1,H$101&gt;=0),H$6,9999)</f>
        <v/>
      </c>
      <c r="I109" s="21">
        <f>IF(AND(I$7&gt;=1,I$101&gt;=0),I$6,9999)</f>
        <v/>
      </c>
      <c r="J109" s="21">
        <f>IF(AND(J$7&gt;=1,J$101&gt;=0),J$6,9999)</f>
        <v/>
      </c>
      <c r="K109" s="21">
        <f>IF(AND(K$7&gt;=1,K$101&gt;=0),K$6,9999)</f>
        <v/>
      </c>
    </row>
    <row r="110">
      <c r="A110" s="37" t="inlineStr">
        <is>
          <t>Break-even test, after contributed (year or 9999)</t>
        </is>
      </c>
      <c r="B110" s="21">
        <f>IF(AND(B$7&gt;=1,B$102&gt;=0),B$6,9999)</f>
        <v/>
      </c>
      <c r="C110" s="21">
        <f>IF(AND(C$7&gt;=1,C$102&gt;=0),C$6,9999)</f>
        <v/>
      </c>
      <c r="D110" s="21">
        <f>IF(AND(D$7&gt;=1,D$102&gt;=0),D$6,9999)</f>
        <v/>
      </c>
      <c r="E110" s="21">
        <f>IF(AND(E$7&gt;=1,E$102&gt;=0),E$6,9999)</f>
        <v/>
      </c>
      <c r="F110" s="21">
        <f>IF(AND(F$7&gt;=1,F$102&gt;=0),F$6,9999)</f>
        <v/>
      </c>
      <c r="G110" s="21">
        <f>IF(AND(G$7&gt;=1,G$102&gt;=0),G$6,9999)</f>
        <v/>
      </c>
      <c r="H110" s="21">
        <f>IF(AND(H$7&gt;=1,H$102&gt;=0),H$6,9999)</f>
        <v/>
      </c>
      <c r="I110" s="21">
        <f>IF(AND(I$7&gt;=1,I$102&gt;=0),I$6,9999)</f>
        <v/>
      </c>
      <c r="J110" s="21">
        <f>IF(AND(J$7&gt;=1,J$102&gt;=0),J$6,9999)</f>
        <v/>
      </c>
      <c r="K110" s="21">
        <f>IF(AND(K$7&gt;=1,K$102&gt;=0),K$6,9999)</f>
        <v/>
      </c>
    </row>
    <row r="111">
      <c r="A111" s="37" t="inlineStr">
        <is>
          <t>Check: large events within the assumed use-permit cap</t>
        </is>
      </c>
      <c r="B111" s="9">
        <f>IF(B$31&lt;=Assumptions!$G$128+0.0001,"OK","Over cap")</f>
        <v/>
      </c>
      <c r="C111" s="9">
        <f>IF(C$31&lt;=Assumptions!$G$128+0.0001,"OK","Over cap")</f>
        <v/>
      </c>
      <c r="D111" s="9">
        <f>IF(D$31&lt;=Assumptions!$G$128+0.0001,"OK","Over cap")</f>
        <v/>
      </c>
      <c r="E111" s="9">
        <f>IF(E$31&lt;=Assumptions!$G$128+0.0001,"OK","Over cap")</f>
        <v/>
      </c>
      <c r="F111" s="9">
        <f>IF(F$31&lt;=Assumptions!$G$128+0.0001,"OK","Over cap")</f>
        <v/>
      </c>
      <c r="G111" s="9">
        <f>IF(G$31&lt;=Assumptions!$G$128+0.0001,"OK","Over cap")</f>
        <v/>
      </c>
      <c r="H111" s="9">
        <f>IF(H$31&lt;=Assumptions!$G$128+0.0001,"OK","Over cap")</f>
        <v/>
      </c>
      <c r="I111" s="9">
        <f>IF(I$31&lt;=Assumptions!$G$128+0.0001,"OK","Over cap")</f>
        <v/>
      </c>
      <c r="J111" s="9">
        <f>IF(J$31&lt;=Assumptions!$G$128+0.0001,"OK","Over cap")</f>
        <v/>
      </c>
      <c r="K111" s="9">
        <f>IF(K$31&lt;=Assumptions!$G$128+0.0001,"OK","Over cap")</f>
        <v/>
      </c>
      <c r="L111" s="70">
        <f>IF(L$31&lt;=Assumptions!$G$128+0.0001,"OK","Over cap")</f>
        <v/>
      </c>
    </row>
    <row r="112">
      <c r="A112" s="37" t="inlineStr">
        <is>
          <t>Check: utilization at or below 85%</t>
        </is>
      </c>
      <c r="B112" s="9">
        <f>IF(B$40&lt;=0.85,"OK","Check")</f>
        <v/>
      </c>
      <c r="C112" s="9">
        <f>IF(C$40&lt;=0.85,"OK","Check")</f>
        <v/>
      </c>
      <c r="D112" s="9">
        <f>IF(D$40&lt;=0.85,"OK","Check")</f>
        <v/>
      </c>
      <c r="E112" s="9">
        <f>IF(E$40&lt;=0.85,"OK","Check")</f>
        <v/>
      </c>
      <c r="F112" s="9">
        <f>IF(F$40&lt;=0.85,"OK","Check")</f>
        <v/>
      </c>
      <c r="G112" s="9">
        <f>IF(G$40&lt;=0.85,"OK","Check")</f>
        <v/>
      </c>
      <c r="H112" s="9">
        <f>IF(H$40&lt;=0.85,"OK","Check")</f>
        <v/>
      </c>
      <c r="I112" s="9">
        <f>IF(I$40&lt;=0.85,"OK","Check")</f>
        <v/>
      </c>
      <c r="J112" s="9">
        <f>IF(J$40&lt;=0.85,"OK","Check")</f>
        <v/>
      </c>
      <c r="K112" s="9">
        <f>IF(K$40&lt;=0.85,"OK","Check")</f>
        <v/>
      </c>
      <c r="L112" s="70">
        <f>IF(L$40&lt;=0.85,"OK","Check")</f>
        <v/>
      </c>
    </row>
  </sheetData>
  <pageMargins left="0.75" right="0.75" top="1" bottom="1" header="0.5" footer="0.5"/>
  <pageSetup orientation="landscape" fitToWidth="1"/>
</worksheet>
</file>

<file path=xl/worksheets/sheet9.xml><?xml version="1.0" encoding="utf-8"?>
<worksheet xmlns="http://schemas.openxmlformats.org/spreadsheetml/2006/main">
  <sheetPr>
    <outlinePr summaryBelow="1" summaryRight="1"/>
    <pageSetUpPr fitToPage="1"/>
  </sheetPr>
  <dimension ref="A1:N112"/>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2" customWidth="1" min="1" max="1"/>
    <col width="12.5" customWidth="1" min="2" max="2"/>
    <col width="12.5" customWidth="1" min="3" max="3"/>
    <col width="12.5" customWidth="1" min="4" max="4"/>
    <col width="12.5" customWidth="1" min="5" max="5"/>
    <col width="12.5" customWidth="1" min="6" max="6"/>
    <col width="12.5" customWidth="1" min="7" max="7"/>
    <col width="12.5" customWidth="1" min="8" max="8"/>
    <col width="12.5" customWidth="1" min="9" max="9"/>
    <col width="12.5" customWidth="1" min="10" max="10"/>
    <col width="12.5" customWidth="1" min="11" max="11"/>
    <col width="12.5" customWidth="1" min="12" max="12"/>
    <col width="12.5" customWidth="1" min="13" max="13"/>
    <col width="48" customWidth="1" min="14" max="14"/>
  </cols>
  <sheetData>
    <row r="1">
      <c r="A1" s="1" t="inlineStr">
        <is>
          <t>Bastion  -  10-year operating pro forma  -  Stress case</t>
        </is>
      </c>
    </row>
    <row r="2">
      <c r="A2" s="2" t="inlineStr">
        <is>
          <t>Stress: base scope 15% over, a harder parcel, an EIR and an appeal, soft costs 25%, contingency 20%, weak demand, opening a year later. Constant 2026 USD. Contributed income is shown separately from earned revenue. Cash flow is before financing (no debt service, no depreciation).</t>
        </is>
      </c>
    </row>
    <row r="4">
      <c r="A4" s="3" t="inlineStr">
        <is>
          <t>USD, constant 2026</t>
        </is>
      </c>
      <c r="B4" s="4" t="n">
        <v>2027</v>
      </c>
      <c r="C4" s="4" t="n">
        <v>2028</v>
      </c>
      <c r="D4" s="4" t="n">
        <v>2029</v>
      </c>
      <c r="E4" s="4" t="n">
        <v>2030</v>
      </c>
      <c r="F4" s="4" t="n">
        <v>2031</v>
      </c>
      <c r="G4" s="4" t="n">
        <v>2032</v>
      </c>
      <c r="H4" s="4" t="n">
        <v>2033</v>
      </c>
      <c r="I4" s="4" t="n">
        <v>2034</v>
      </c>
      <c r="J4" s="4" t="n">
        <v>2035</v>
      </c>
      <c r="K4" s="4" t="n">
        <v>2036</v>
      </c>
      <c r="L4" s="4" t="inlineStr">
        <is>
          <t>Stabilized</t>
        </is>
      </c>
      <c r="M4" s="4" t="inlineStr">
        <is>
          <t>2027-36 total</t>
        </is>
      </c>
      <c r="N4" s="4" t="inlineStr">
        <is>
          <t>Notes</t>
        </is>
      </c>
    </row>
    <row r="5">
      <c r="A5" s="7" t="inlineStr">
        <is>
          <t>TIMING AND DRIVERS</t>
        </is>
      </c>
      <c r="B5" s="8" t="n"/>
      <c r="C5" s="8" t="n"/>
      <c r="D5" s="8" t="n"/>
      <c r="E5" s="8" t="n"/>
      <c r="F5" s="8" t="n"/>
      <c r="G5" s="8" t="n"/>
      <c r="H5" s="8" t="n"/>
      <c r="I5" s="8" t="n"/>
      <c r="J5" s="8" t="n"/>
      <c r="K5" s="8" t="n"/>
      <c r="L5" s="8" t="n"/>
      <c r="M5" s="8" t="n"/>
      <c r="N5" s="8" t="n"/>
    </row>
    <row r="6">
      <c r="A6" s="37" t="inlineStr">
        <is>
          <t>Year</t>
        </is>
      </c>
      <c r="B6" s="51">
        <f>Assumptions!$H$7</f>
        <v/>
      </c>
      <c r="C6" s="51">
        <f>B6+1</f>
        <v/>
      </c>
      <c r="D6" s="51">
        <f>C6+1</f>
        <v/>
      </c>
      <c r="E6" s="51">
        <f>D6+1</f>
        <v/>
      </c>
      <c r="F6" s="51">
        <f>E6+1</f>
        <v/>
      </c>
      <c r="G6" s="51">
        <f>F6+1</f>
        <v/>
      </c>
      <c r="H6" s="51">
        <f>G6+1</f>
        <v/>
      </c>
      <c r="I6" s="51">
        <f>H6+1</f>
        <v/>
      </c>
      <c r="J6" s="51">
        <f>I6+1</f>
        <v/>
      </c>
      <c r="K6" s="51">
        <f>J6+1</f>
        <v/>
      </c>
      <c r="L6" s="52">
        <f>9999</f>
        <v/>
      </c>
    </row>
    <row r="7">
      <c r="A7" s="37" t="inlineStr">
        <is>
          <t>Operating year (1 = Phase 1 opening year)</t>
        </is>
      </c>
      <c r="B7" s="21">
        <f>B$6-Assumptions!$H$9+1</f>
        <v/>
      </c>
      <c r="C7" s="21">
        <f>C$6-Assumptions!$H$9+1</f>
        <v/>
      </c>
      <c r="D7" s="21">
        <f>D$6-Assumptions!$H$9+1</f>
        <v/>
      </c>
      <c r="E7" s="21">
        <f>E$6-Assumptions!$H$9+1</f>
        <v/>
      </c>
      <c r="F7" s="21">
        <f>F$6-Assumptions!$H$9+1</f>
        <v/>
      </c>
      <c r="G7" s="21">
        <f>G$6-Assumptions!$H$9+1</f>
        <v/>
      </c>
      <c r="H7" s="21">
        <f>H$6-Assumptions!$H$9+1</f>
        <v/>
      </c>
      <c r="I7" s="21">
        <f>I$6-Assumptions!$H$9+1</f>
        <v/>
      </c>
      <c r="J7" s="21">
        <f>J$6-Assumptions!$H$9+1</f>
        <v/>
      </c>
      <c r="K7" s="21">
        <f>K$6-Assumptions!$H$9+1</f>
        <v/>
      </c>
      <c r="L7" s="53">
        <f>L$6-Assumptions!$H$9+1</f>
        <v/>
      </c>
      <c r="N7" s="54" t="inlineStr">
        <is>
          <t>Phases 1 and 2 open in May 2030 (share set on Assumptions)</t>
        </is>
      </c>
    </row>
    <row r="8">
      <c r="A8" s="37" t="inlineStr">
        <is>
          <t>Phase 1 in operation (share of year)</t>
        </is>
      </c>
      <c r="B8" s="55">
        <f>IF(B$6&lt;Assumptions!$H$9,0,IF(B$6=Assumptions!$H$9,Assumptions!$H$12,1))</f>
        <v/>
      </c>
      <c r="C8" s="55">
        <f>IF(C$6&lt;Assumptions!$H$9,0,IF(C$6=Assumptions!$H$9,Assumptions!$H$12,1))</f>
        <v/>
      </c>
      <c r="D8" s="55">
        <f>IF(D$6&lt;Assumptions!$H$9,0,IF(D$6=Assumptions!$H$9,Assumptions!$H$12,1))</f>
        <v/>
      </c>
      <c r="E8" s="55">
        <f>IF(E$6&lt;Assumptions!$H$9,0,IF(E$6=Assumptions!$H$9,Assumptions!$H$12,1))</f>
        <v/>
      </c>
      <c r="F8" s="55">
        <f>IF(F$6&lt;Assumptions!$H$9,0,IF(F$6=Assumptions!$H$9,Assumptions!$H$12,1))</f>
        <v/>
      </c>
      <c r="G8" s="55">
        <f>IF(G$6&lt;Assumptions!$H$9,0,IF(G$6=Assumptions!$H$9,Assumptions!$H$12,1))</f>
        <v/>
      </c>
      <c r="H8" s="55">
        <f>IF(H$6&lt;Assumptions!$H$9,0,IF(H$6=Assumptions!$H$9,Assumptions!$H$12,1))</f>
        <v/>
      </c>
      <c r="I8" s="55">
        <f>IF(I$6&lt;Assumptions!$H$9,0,IF(I$6=Assumptions!$H$9,Assumptions!$H$12,1))</f>
        <v/>
      </c>
      <c r="J8" s="55">
        <f>IF(J$6&lt;Assumptions!$H$9,0,IF(J$6=Assumptions!$H$9,Assumptions!$H$12,1))</f>
        <v/>
      </c>
      <c r="K8" s="55">
        <f>IF(K$6&lt;Assumptions!$H$9,0,IF(K$6=Assumptions!$H$9,Assumptions!$H$12,1))</f>
        <v/>
      </c>
      <c r="L8" s="56">
        <f>IF(L$6&lt;Assumptions!$H$9,0,IF(L$6=Assumptions!$H$9,Assumptions!$H$12,1))</f>
        <v/>
      </c>
    </row>
    <row r="9">
      <c r="A9" s="37" t="inlineStr">
        <is>
          <t>Phase 2 in operation (share of year)</t>
        </is>
      </c>
      <c r="B9" s="55">
        <f>IF(B$6&lt;Assumptions!$H$10,0,IF(B$6=Assumptions!$H$10,Assumptions!$H$13,1))</f>
        <v/>
      </c>
      <c r="C9" s="55">
        <f>IF(C$6&lt;Assumptions!$H$10,0,IF(C$6=Assumptions!$H$10,Assumptions!$H$13,1))</f>
        <v/>
      </c>
      <c r="D9" s="55">
        <f>IF(D$6&lt;Assumptions!$H$10,0,IF(D$6=Assumptions!$H$10,Assumptions!$H$13,1))</f>
        <v/>
      </c>
      <c r="E9" s="55">
        <f>IF(E$6&lt;Assumptions!$H$10,0,IF(E$6=Assumptions!$H$10,Assumptions!$H$13,1))</f>
        <v/>
      </c>
      <c r="F9" s="55">
        <f>IF(F$6&lt;Assumptions!$H$10,0,IF(F$6=Assumptions!$H$10,Assumptions!$H$13,1))</f>
        <v/>
      </c>
      <c r="G9" s="55">
        <f>IF(G$6&lt;Assumptions!$H$10,0,IF(G$6=Assumptions!$H$10,Assumptions!$H$13,1))</f>
        <v/>
      </c>
      <c r="H9" s="55">
        <f>IF(H$6&lt;Assumptions!$H$10,0,IF(H$6=Assumptions!$H$10,Assumptions!$H$13,1))</f>
        <v/>
      </c>
      <c r="I9" s="55">
        <f>IF(I$6&lt;Assumptions!$H$10,0,IF(I$6=Assumptions!$H$10,Assumptions!$H$13,1))</f>
        <v/>
      </c>
      <c r="J9" s="55">
        <f>IF(J$6&lt;Assumptions!$H$10,0,IF(J$6=Assumptions!$H$10,Assumptions!$H$13,1))</f>
        <v/>
      </c>
      <c r="K9" s="55">
        <f>IF(K$6&lt;Assumptions!$H$10,0,IF(K$6=Assumptions!$H$10,Assumptions!$H$13,1))</f>
        <v/>
      </c>
      <c r="L9" s="56">
        <f>IF(L$6&lt;Assumptions!$H$10,0,IF(L$6=Assumptions!$H$10,Assumptions!$H$13,1))</f>
        <v/>
      </c>
    </row>
    <row r="10">
      <c r="A10" s="37" t="inlineStr">
        <is>
          <t>Phase 3 in operation (share of year)</t>
        </is>
      </c>
      <c r="B10" s="55">
        <f>IF(B$6&lt;Assumptions!$H$11,0,IF(B$6=Assumptions!$H$11,Assumptions!$H$14,1))</f>
        <v/>
      </c>
      <c r="C10" s="55">
        <f>IF(C$6&lt;Assumptions!$H$11,0,IF(C$6=Assumptions!$H$11,Assumptions!$H$14,1))</f>
        <v/>
      </c>
      <c r="D10" s="55">
        <f>IF(D$6&lt;Assumptions!$H$11,0,IF(D$6=Assumptions!$H$11,Assumptions!$H$14,1))</f>
        <v/>
      </c>
      <c r="E10" s="55">
        <f>IF(E$6&lt;Assumptions!$H$11,0,IF(E$6=Assumptions!$H$11,Assumptions!$H$14,1))</f>
        <v/>
      </c>
      <c r="F10" s="55">
        <f>IF(F$6&lt;Assumptions!$H$11,0,IF(F$6=Assumptions!$H$11,Assumptions!$H$14,1))</f>
        <v/>
      </c>
      <c r="G10" s="55">
        <f>IF(G$6&lt;Assumptions!$H$11,0,IF(G$6=Assumptions!$H$11,Assumptions!$H$14,1))</f>
        <v/>
      </c>
      <c r="H10" s="55">
        <f>IF(H$6&lt;Assumptions!$H$11,0,IF(H$6=Assumptions!$H$11,Assumptions!$H$14,1))</f>
        <v/>
      </c>
      <c r="I10" s="55">
        <f>IF(I$6&lt;Assumptions!$H$11,0,IF(I$6=Assumptions!$H$11,Assumptions!$H$14,1))</f>
        <v/>
      </c>
      <c r="J10" s="55">
        <f>IF(J$6&lt;Assumptions!$H$11,0,IF(J$6=Assumptions!$H$11,Assumptions!$H$14,1))</f>
        <v/>
      </c>
      <c r="K10" s="55">
        <f>IF(K$6&lt;Assumptions!$H$11,0,IF(K$6=Assumptions!$H$11,Assumptions!$H$14,1))</f>
        <v/>
      </c>
      <c r="L10" s="56">
        <f>IF(L$6&lt;Assumptions!$H$11,0,IF(L$6=Assumptions!$H$11,Assumptions!$H$14,1))</f>
        <v/>
      </c>
    </row>
    <row r="11">
      <c r="A11" s="37" t="inlineStr">
        <is>
          <t>Before Phase 1 opening (1 = yes)</t>
        </is>
      </c>
      <c r="B11" s="21">
        <f>IF(B$6&lt;Assumptions!$H$9,1,0)</f>
        <v/>
      </c>
      <c r="C11" s="21">
        <f>IF(C$6&lt;Assumptions!$H$9,1,0)</f>
        <v/>
      </c>
      <c r="D11" s="21">
        <f>IF(D$6&lt;Assumptions!$H$9,1,0)</f>
        <v/>
      </c>
      <c r="E11" s="21">
        <f>IF(E$6&lt;Assumptions!$H$9,1,0)</f>
        <v/>
      </c>
      <c r="F11" s="21">
        <f>IF(F$6&lt;Assumptions!$H$9,1,0)</f>
        <v/>
      </c>
      <c r="G11" s="21">
        <f>IF(G$6&lt;Assumptions!$H$9,1,0)</f>
        <v/>
      </c>
      <c r="H11" s="21">
        <f>IF(H$6&lt;Assumptions!$H$9,1,0)</f>
        <v/>
      </c>
      <c r="I11" s="21">
        <f>IF(I$6&lt;Assumptions!$H$9,1,0)</f>
        <v/>
      </c>
      <c r="J11" s="21">
        <f>IF(J$6&lt;Assumptions!$H$9,1,0)</f>
        <v/>
      </c>
      <c r="K11" s="21">
        <f>IF(K$6&lt;Assumptions!$H$9,1,0)</f>
        <v/>
      </c>
      <c r="L11" s="53">
        <f>IF(L$6&lt;Assumptions!$H$9,1,0)</f>
        <v/>
      </c>
    </row>
    <row r="12">
      <c r="A12" s="37" t="inlineStr">
        <is>
          <t>Stage 0 pop-up year on site (1 = yes)</t>
        </is>
      </c>
      <c r="B12" s="21">
        <f>IF(AND(B$6&gt;Assumptions!$H$8,B$6&lt;Assumptions!$H$9),1,0)</f>
        <v/>
      </c>
      <c r="C12" s="21">
        <f>IF(AND(C$6&gt;Assumptions!$H$8,C$6&lt;Assumptions!$H$9),1,0)</f>
        <v/>
      </c>
      <c r="D12" s="21">
        <f>IF(AND(D$6&gt;Assumptions!$H$8,D$6&lt;Assumptions!$H$9),1,0)</f>
        <v/>
      </c>
      <c r="E12" s="21">
        <f>IF(AND(E$6&gt;Assumptions!$H$8,E$6&lt;Assumptions!$H$9),1,0)</f>
        <v/>
      </c>
      <c r="F12" s="21">
        <f>IF(AND(F$6&gt;Assumptions!$H$8,F$6&lt;Assumptions!$H$9),1,0)</f>
        <v/>
      </c>
      <c r="G12" s="21">
        <f>IF(AND(G$6&gt;Assumptions!$H$8,G$6&lt;Assumptions!$H$9),1,0)</f>
        <v/>
      </c>
      <c r="H12" s="21">
        <f>IF(AND(H$6&gt;Assumptions!$H$8,H$6&lt;Assumptions!$H$9),1,0)</f>
        <v/>
      </c>
      <c r="I12" s="21">
        <f>IF(AND(I$6&gt;Assumptions!$H$8,I$6&lt;Assumptions!$H$9),1,0)</f>
        <v/>
      </c>
      <c r="J12" s="21">
        <f>IF(AND(J$6&gt;Assumptions!$H$8,J$6&lt;Assumptions!$H$9),1,0)</f>
        <v/>
      </c>
      <c r="K12" s="21">
        <f>IF(AND(K$6&gt;Assumptions!$H$8,K$6&lt;Assumptions!$H$9),1,0)</f>
        <v/>
      </c>
      <c r="L12" s="53">
        <f>IF(AND(L$6&gt;Assumptions!$H$8,L$6&lt;Assumptions!$H$9),1,0)</f>
        <v/>
      </c>
    </row>
    <row r="13">
      <c r="A13" s="37" t="inlineStr">
        <is>
          <t>Land owned (1 = yes)</t>
        </is>
      </c>
      <c r="B13" s="21">
        <f>IF(B$6&gt;=Assumptions!$H$8,1,0)</f>
        <v/>
      </c>
      <c r="C13" s="21">
        <f>IF(C$6&gt;=Assumptions!$H$8,1,0)</f>
        <v/>
      </c>
      <c r="D13" s="21">
        <f>IF(D$6&gt;=Assumptions!$H$8,1,0)</f>
        <v/>
      </c>
      <c r="E13" s="21">
        <f>IF(E$6&gt;=Assumptions!$H$8,1,0)</f>
        <v/>
      </c>
      <c r="F13" s="21">
        <f>IF(F$6&gt;=Assumptions!$H$8,1,0)</f>
        <v/>
      </c>
      <c r="G13" s="21">
        <f>IF(G$6&gt;=Assumptions!$H$8,1,0)</f>
        <v/>
      </c>
      <c r="H13" s="21">
        <f>IF(H$6&gt;=Assumptions!$H$8,1,0)</f>
        <v/>
      </c>
      <c r="I13" s="21">
        <f>IF(I$6&gt;=Assumptions!$H$8,1,0)</f>
        <v/>
      </c>
      <c r="J13" s="21">
        <f>IF(J$6&gt;=Assumptions!$H$8,1,0)</f>
        <v/>
      </c>
      <c r="K13" s="21">
        <f>IF(K$6&gt;=Assumptions!$H$8,1,0)</f>
        <v/>
      </c>
      <c r="L13" s="53">
        <f>IF(L$6&gt;=Assumptions!$H$8,1,0)</f>
        <v/>
      </c>
    </row>
    <row r="14">
      <c r="A14" s="37" t="inlineStr">
        <is>
          <t>Demand ramp</t>
        </is>
      </c>
      <c r="B14" s="55">
        <f>IF(B$7&lt;1,0,INDEX(Assumptions!$H$147:$H$150,MIN(B$7,4)))</f>
        <v/>
      </c>
      <c r="C14" s="55">
        <f>IF(C$7&lt;1,0,INDEX(Assumptions!$H$147:$H$150,MIN(C$7,4)))</f>
        <v/>
      </c>
      <c r="D14" s="55">
        <f>IF(D$7&lt;1,0,INDEX(Assumptions!$H$147:$H$150,MIN(D$7,4)))</f>
        <v/>
      </c>
      <c r="E14" s="55">
        <f>IF(E$7&lt;1,0,INDEX(Assumptions!$H$147:$H$150,MIN(E$7,4)))</f>
        <v/>
      </c>
      <c r="F14" s="55">
        <f>IF(F$7&lt;1,0,INDEX(Assumptions!$H$147:$H$150,MIN(F$7,4)))</f>
        <v/>
      </c>
      <c r="G14" s="55">
        <f>IF(G$7&lt;1,0,INDEX(Assumptions!$H$147:$H$150,MIN(G$7,4)))</f>
        <v/>
      </c>
      <c r="H14" s="55">
        <f>IF(H$7&lt;1,0,INDEX(Assumptions!$H$147:$H$150,MIN(H$7,4)))</f>
        <v/>
      </c>
      <c r="I14" s="55">
        <f>IF(I$7&lt;1,0,INDEX(Assumptions!$H$147:$H$150,MIN(I$7,4)))</f>
        <v/>
      </c>
      <c r="J14" s="55">
        <f>IF(J$7&lt;1,0,INDEX(Assumptions!$H$147:$H$150,MIN(J$7,4)))</f>
        <v/>
      </c>
      <c r="K14" s="55">
        <f>IF(K$7&lt;1,0,INDEX(Assumptions!$H$147:$H$150,MIN(K$7,4)))</f>
        <v/>
      </c>
      <c r="L14" s="56">
        <f>IF(L$7&lt;1,0,INDEX(Assumptions!$H$147:$H$150,MIN(L$7,4)))</f>
        <v/>
      </c>
    </row>
    <row r="15">
      <c r="A15" s="37" t="inlineStr">
        <is>
          <t>Contributed income ramp</t>
        </is>
      </c>
      <c r="B15" s="55">
        <f>IF(B$7&lt;1,B$13*Assumptions!$H$151,INDEX(Assumptions!$H$152:$H$155,MIN(B$7,4)))</f>
        <v/>
      </c>
      <c r="C15" s="55">
        <f>IF(C$7&lt;1,C$13*Assumptions!$H$151,INDEX(Assumptions!$H$152:$H$155,MIN(C$7,4)))</f>
        <v/>
      </c>
      <c r="D15" s="55">
        <f>IF(D$7&lt;1,D$13*Assumptions!$H$151,INDEX(Assumptions!$H$152:$H$155,MIN(D$7,4)))</f>
        <v/>
      </c>
      <c r="E15" s="55">
        <f>IF(E$7&lt;1,E$13*Assumptions!$H$151,INDEX(Assumptions!$H$152:$H$155,MIN(E$7,4)))</f>
        <v/>
      </c>
      <c r="F15" s="55">
        <f>IF(F$7&lt;1,F$13*Assumptions!$H$151,INDEX(Assumptions!$H$152:$H$155,MIN(F$7,4)))</f>
        <v/>
      </c>
      <c r="G15" s="55">
        <f>IF(G$7&lt;1,G$13*Assumptions!$H$151,INDEX(Assumptions!$H$152:$H$155,MIN(G$7,4)))</f>
        <v/>
      </c>
      <c r="H15" s="55">
        <f>IF(H$7&lt;1,H$13*Assumptions!$H$151,INDEX(Assumptions!$H$152:$H$155,MIN(H$7,4)))</f>
        <v/>
      </c>
      <c r="I15" s="55">
        <f>IF(I$7&lt;1,I$13*Assumptions!$H$151,INDEX(Assumptions!$H$152:$H$155,MIN(I$7,4)))</f>
        <v/>
      </c>
      <c r="J15" s="55">
        <f>IF(J$7&lt;1,J$13*Assumptions!$H$151,INDEX(Assumptions!$H$152:$H$155,MIN(J$7,4)))</f>
        <v/>
      </c>
      <c r="K15" s="55">
        <f>IF(K$7&lt;1,K$13*Assumptions!$H$151,INDEX(Assumptions!$H$152:$H$155,MIN(K$7,4)))</f>
        <v/>
      </c>
      <c r="L15" s="56">
        <f>IF(L$7&lt;1,L$13*Assumptions!$H$151,INDEX(Assumptions!$H$152:$H$155,MIN(L$7,4)))</f>
        <v/>
      </c>
    </row>
    <row r="16">
      <c r="A16" s="37" t="inlineStr">
        <is>
          <t>Studio ramp (years since Phase 2 opening)</t>
        </is>
      </c>
      <c r="B16" s="55">
        <f>IF(B$6&lt;Assumptions!$H$10,0,INDEX(Assumptions!$H$147:$H$150,MIN(B$6-Assumptions!$H$10+1,4)))</f>
        <v/>
      </c>
      <c r="C16" s="55">
        <f>IF(C$6&lt;Assumptions!$H$10,0,INDEX(Assumptions!$H$147:$H$150,MIN(C$6-Assumptions!$H$10+1,4)))</f>
        <v/>
      </c>
      <c r="D16" s="55">
        <f>IF(D$6&lt;Assumptions!$H$10,0,INDEX(Assumptions!$H$147:$H$150,MIN(D$6-Assumptions!$H$10+1,4)))</f>
        <v/>
      </c>
      <c r="E16" s="55">
        <f>IF(E$6&lt;Assumptions!$H$10,0,INDEX(Assumptions!$H$147:$H$150,MIN(E$6-Assumptions!$H$10+1,4)))</f>
        <v/>
      </c>
      <c r="F16" s="55">
        <f>IF(F$6&lt;Assumptions!$H$10,0,INDEX(Assumptions!$H$147:$H$150,MIN(F$6-Assumptions!$H$10+1,4)))</f>
        <v/>
      </c>
      <c r="G16" s="55">
        <f>IF(G$6&lt;Assumptions!$H$10,0,INDEX(Assumptions!$H$147:$H$150,MIN(G$6-Assumptions!$H$10+1,4)))</f>
        <v/>
      </c>
      <c r="H16" s="55">
        <f>IF(H$6&lt;Assumptions!$H$10,0,INDEX(Assumptions!$H$147:$H$150,MIN(H$6-Assumptions!$H$10+1,4)))</f>
        <v/>
      </c>
      <c r="I16" s="55">
        <f>IF(I$6&lt;Assumptions!$H$10,0,INDEX(Assumptions!$H$147:$H$150,MIN(I$6-Assumptions!$H$10+1,4)))</f>
        <v/>
      </c>
      <c r="J16" s="55">
        <f>IF(J$6&lt;Assumptions!$H$10,0,INDEX(Assumptions!$H$147:$H$150,MIN(J$6-Assumptions!$H$10+1,4)))</f>
        <v/>
      </c>
      <c r="K16" s="55">
        <f>IF(K$6&lt;Assumptions!$H$10,0,INDEX(Assumptions!$H$147:$H$150,MIN(K$6-Assumptions!$H$10+1,4)))</f>
        <v/>
      </c>
      <c r="L16" s="56">
        <f>IF(L$6&lt;Assumptions!$H$10,0,INDEX(Assumptions!$H$147:$H$150,MIN(L$6-Assumptions!$H$10+1,4)))</f>
        <v/>
      </c>
    </row>
    <row r="17">
      <c r="A17" s="37" t="inlineStr">
        <is>
          <t>Gallery ramp (years since Phase 3 opening)</t>
        </is>
      </c>
      <c r="B17" s="55">
        <f>IF(B$6&lt;Assumptions!$H$11,0,INDEX(Assumptions!$H$147:$H$150,MIN(B$6-Assumptions!$H$11+1,4)))</f>
        <v/>
      </c>
      <c r="C17" s="55">
        <f>IF(C$6&lt;Assumptions!$H$11,0,INDEX(Assumptions!$H$147:$H$150,MIN(C$6-Assumptions!$H$11+1,4)))</f>
        <v/>
      </c>
      <c r="D17" s="55">
        <f>IF(D$6&lt;Assumptions!$H$11,0,INDEX(Assumptions!$H$147:$H$150,MIN(D$6-Assumptions!$H$11+1,4)))</f>
        <v/>
      </c>
      <c r="E17" s="55">
        <f>IF(E$6&lt;Assumptions!$H$11,0,INDEX(Assumptions!$H$147:$H$150,MIN(E$6-Assumptions!$H$11+1,4)))</f>
        <v/>
      </c>
      <c r="F17" s="55">
        <f>IF(F$6&lt;Assumptions!$H$11,0,INDEX(Assumptions!$H$147:$H$150,MIN(F$6-Assumptions!$H$11+1,4)))</f>
        <v/>
      </c>
      <c r="G17" s="55">
        <f>IF(G$6&lt;Assumptions!$H$11,0,INDEX(Assumptions!$H$147:$H$150,MIN(G$6-Assumptions!$H$11+1,4)))</f>
        <v/>
      </c>
      <c r="H17" s="55">
        <f>IF(H$6&lt;Assumptions!$H$11,0,INDEX(Assumptions!$H$147:$H$150,MIN(H$6-Assumptions!$H$11+1,4)))</f>
        <v/>
      </c>
      <c r="I17" s="55">
        <f>IF(I$6&lt;Assumptions!$H$11,0,INDEX(Assumptions!$H$147:$H$150,MIN(I$6-Assumptions!$H$11+1,4)))</f>
        <v/>
      </c>
      <c r="J17" s="55">
        <f>IF(J$6&lt;Assumptions!$H$11,0,INDEX(Assumptions!$H$147:$H$150,MIN(J$6-Assumptions!$H$11+1,4)))</f>
        <v/>
      </c>
      <c r="K17" s="55">
        <f>IF(K$6&lt;Assumptions!$H$11,0,INDEX(Assumptions!$H$147:$H$150,MIN(K$6-Assumptions!$H$11+1,4)))</f>
        <v/>
      </c>
      <c r="L17" s="56">
        <f>IF(L$6&lt;Assumptions!$H$11,0,INDEX(Assumptions!$H$147:$H$150,MIN(L$6-Assumptions!$H$11+1,4)))</f>
        <v/>
      </c>
    </row>
    <row r="18">
      <c r="A18" s="37" t="inlineStr">
        <is>
          <t>Price index (1 = 2026 dollars)</t>
        </is>
      </c>
      <c r="B18" s="57">
        <f>IF(B$6&gt;3000,1,(1+Assumptions!$H$189)^(B$6-2026))</f>
        <v/>
      </c>
      <c r="C18" s="57">
        <f>IF(C$6&gt;3000,1,(1+Assumptions!$H$189)^(C$6-2026))</f>
        <v/>
      </c>
      <c r="D18" s="57">
        <f>IF(D$6&gt;3000,1,(1+Assumptions!$H$189)^(D$6-2026))</f>
        <v/>
      </c>
      <c r="E18" s="57">
        <f>IF(E$6&gt;3000,1,(1+Assumptions!$H$189)^(E$6-2026))</f>
        <v/>
      </c>
      <c r="F18" s="57">
        <f>IF(F$6&gt;3000,1,(1+Assumptions!$H$189)^(F$6-2026))</f>
        <v/>
      </c>
      <c r="G18" s="57">
        <f>IF(G$6&gt;3000,1,(1+Assumptions!$H$189)^(G$6-2026))</f>
        <v/>
      </c>
      <c r="H18" s="57">
        <f>IF(H$6&gt;3000,1,(1+Assumptions!$H$189)^(H$6-2026))</f>
        <v/>
      </c>
      <c r="I18" s="57">
        <f>IF(I$6&gt;3000,1,(1+Assumptions!$H$189)^(I$6-2026))</f>
        <v/>
      </c>
      <c r="J18" s="57">
        <f>IF(J$6&gt;3000,1,(1+Assumptions!$H$189)^(J$6-2026))</f>
        <v/>
      </c>
      <c r="K18" s="57">
        <f>IF(K$6&gt;3000,1,(1+Assumptions!$H$189)^(K$6-2026))</f>
        <v/>
      </c>
      <c r="L18" s="58">
        <f>IF(L$6&gt;3000,1,(1+Assumptions!$H$189)^(L$6-2026))</f>
        <v/>
      </c>
    </row>
    <row r="19">
      <c r="A19" s="37" t="inlineStr">
        <is>
          <t>Cabins in service (year-weighted)</t>
        </is>
      </c>
      <c r="B19" s="59">
        <f>Assumptions!$H$17*B$8+(Assumptions!$H$16-Assumptions!$H$17)*B$9</f>
        <v/>
      </c>
      <c r="C19" s="59">
        <f>Assumptions!$H$17*C$8+(Assumptions!$H$16-Assumptions!$H$17)*C$9</f>
        <v/>
      </c>
      <c r="D19" s="59">
        <f>Assumptions!$H$17*D$8+(Assumptions!$H$16-Assumptions!$H$17)*D$9</f>
        <v/>
      </c>
      <c r="E19" s="59">
        <f>Assumptions!$H$17*E$8+(Assumptions!$H$16-Assumptions!$H$17)*E$9</f>
        <v/>
      </c>
      <c r="F19" s="59">
        <f>Assumptions!$H$17*F$8+(Assumptions!$H$16-Assumptions!$H$17)*F$9</f>
        <v/>
      </c>
      <c r="G19" s="59">
        <f>Assumptions!$H$17*G$8+(Assumptions!$H$16-Assumptions!$H$17)*G$9</f>
        <v/>
      </c>
      <c r="H19" s="59">
        <f>Assumptions!$H$17*H$8+(Assumptions!$H$16-Assumptions!$H$17)*H$9</f>
        <v/>
      </c>
      <c r="I19" s="59">
        <f>Assumptions!$H$17*I$8+(Assumptions!$H$16-Assumptions!$H$17)*I$9</f>
        <v/>
      </c>
      <c r="J19" s="59">
        <f>Assumptions!$H$17*J$8+(Assumptions!$H$16-Assumptions!$H$17)*J$9</f>
        <v/>
      </c>
      <c r="K19" s="59">
        <f>Assumptions!$H$17*K$8+(Assumptions!$H$16-Assumptions!$H$17)*K$9</f>
        <v/>
      </c>
      <c r="L19" s="60">
        <f>Assumptions!$H$17*L$8+(Assumptions!$H$16-Assumptions!$H$17)*L$9</f>
        <v/>
      </c>
    </row>
    <row r="20">
      <c r="A20" s="37" t="inlineStr">
        <is>
          <t>Cabins installed</t>
        </is>
      </c>
      <c r="B20" s="21">
        <f>Assumptions!$H$17*(B$8&gt;0)+(Assumptions!$H$16-Assumptions!$H$17)*(B$9&gt;0)</f>
        <v/>
      </c>
      <c r="C20" s="21">
        <f>Assumptions!$H$17*(C$8&gt;0)+(Assumptions!$H$16-Assumptions!$H$17)*(C$9&gt;0)</f>
        <v/>
      </c>
      <c r="D20" s="21">
        <f>Assumptions!$H$17*(D$8&gt;0)+(Assumptions!$H$16-Assumptions!$H$17)*(D$9&gt;0)</f>
        <v/>
      </c>
      <c r="E20" s="21">
        <f>Assumptions!$H$17*(E$8&gt;0)+(Assumptions!$H$16-Assumptions!$H$17)*(E$9&gt;0)</f>
        <v/>
      </c>
      <c r="F20" s="21">
        <f>Assumptions!$H$17*(F$8&gt;0)+(Assumptions!$H$16-Assumptions!$H$17)*(F$9&gt;0)</f>
        <v/>
      </c>
      <c r="G20" s="21">
        <f>Assumptions!$H$17*(G$8&gt;0)+(Assumptions!$H$16-Assumptions!$H$17)*(G$9&gt;0)</f>
        <v/>
      </c>
      <c r="H20" s="21">
        <f>Assumptions!$H$17*(H$8&gt;0)+(Assumptions!$H$16-Assumptions!$H$17)*(H$9&gt;0)</f>
        <v/>
      </c>
      <c r="I20" s="21">
        <f>Assumptions!$H$17*(I$8&gt;0)+(Assumptions!$H$16-Assumptions!$H$17)*(I$9&gt;0)</f>
        <v/>
      </c>
      <c r="J20" s="21">
        <f>Assumptions!$H$17*(J$8&gt;0)+(Assumptions!$H$16-Assumptions!$H$17)*(J$9&gt;0)</f>
        <v/>
      </c>
      <c r="K20" s="21">
        <f>Assumptions!$H$17*(K$8&gt;0)+(Assumptions!$H$16-Assumptions!$H$17)*(K$9&gt;0)</f>
        <v/>
      </c>
      <c r="L20" s="53">
        <f>Assumptions!$H$17*(L$8&gt;0)+(Assumptions!$H$16-Assumptions!$H$17)*(L$9&gt;0)</f>
        <v/>
      </c>
    </row>
    <row r="21">
      <c r="A21" s="37" t="inlineStr">
        <is>
          <t>Available cabin nights</t>
        </is>
      </c>
      <c r="B21" s="21">
        <f>B$19*Assumptions!$H$98</f>
        <v/>
      </c>
      <c r="C21" s="21">
        <f>C$19*Assumptions!$H$98</f>
        <v/>
      </c>
      <c r="D21" s="21">
        <f>D$19*Assumptions!$H$98</f>
        <v/>
      </c>
      <c r="E21" s="21">
        <f>E$19*Assumptions!$H$98</f>
        <v/>
      </c>
      <c r="F21" s="21">
        <f>F$19*Assumptions!$H$98</f>
        <v/>
      </c>
      <c r="G21" s="21">
        <f>G$19*Assumptions!$H$98</f>
        <v/>
      </c>
      <c r="H21" s="21">
        <f>H$19*Assumptions!$H$98</f>
        <v/>
      </c>
      <c r="I21" s="21">
        <f>I$19*Assumptions!$H$98</f>
        <v/>
      </c>
      <c r="J21" s="21">
        <f>J$19*Assumptions!$H$98</f>
        <v/>
      </c>
      <c r="K21" s="21">
        <f>K$19*Assumptions!$H$98</f>
        <v/>
      </c>
      <c r="L21" s="53">
        <f>L$19*Assumptions!$H$98</f>
        <v/>
      </c>
      <c r="M21" s="21">
        <f>SUM(B21:K21)</f>
        <v/>
      </c>
    </row>
    <row r="22">
      <c r="A22" s="37" t="inlineStr">
        <is>
          <t>Residencies</t>
        </is>
      </c>
      <c r="B22" s="59">
        <f>Assumptions!$H$105*B$14*B$8</f>
        <v/>
      </c>
      <c r="C22" s="59">
        <f>Assumptions!$H$105*C$14*C$8</f>
        <v/>
      </c>
      <c r="D22" s="59">
        <f>Assumptions!$H$105*D$14*D$8</f>
        <v/>
      </c>
      <c r="E22" s="59">
        <f>Assumptions!$H$105*E$14*E$8</f>
        <v/>
      </c>
      <c r="F22" s="59">
        <f>Assumptions!$H$105*F$14*F$8</f>
        <v/>
      </c>
      <c r="G22" s="59">
        <f>Assumptions!$H$105*G$14*G$8</f>
        <v/>
      </c>
      <c r="H22" s="59">
        <f>Assumptions!$H$105*H$14*H$8</f>
        <v/>
      </c>
      <c r="I22" s="59">
        <f>Assumptions!$H$105*I$14*I$8</f>
        <v/>
      </c>
      <c r="J22" s="59">
        <f>Assumptions!$H$105*J$14*J$8</f>
        <v/>
      </c>
      <c r="K22" s="59">
        <f>Assumptions!$H$105*K$14*K$8</f>
        <v/>
      </c>
      <c r="L22" s="60">
        <f>Assumptions!$H$105*L$14*L$8</f>
        <v/>
      </c>
      <c r="M22" s="59">
        <f>SUM(B22:K22)</f>
        <v/>
      </c>
    </row>
    <row r="23">
      <c r="A23" s="37" t="inlineStr">
        <is>
          <t>Residency cabin nights (no charge)</t>
        </is>
      </c>
      <c r="B23" s="21">
        <f>B$22*Assumptions!$H$106*Assumptions!$H$107</f>
        <v/>
      </c>
      <c r="C23" s="21">
        <f>C$22*Assumptions!$H$106*Assumptions!$H$107</f>
        <v/>
      </c>
      <c r="D23" s="21">
        <f>D$22*Assumptions!$H$106*Assumptions!$H$107</f>
        <v/>
      </c>
      <c r="E23" s="21">
        <f>E$22*Assumptions!$H$106*Assumptions!$H$107</f>
        <v/>
      </c>
      <c r="F23" s="21">
        <f>F$22*Assumptions!$H$106*Assumptions!$H$107</f>
        <v/>
      </c>
      <c r="G23" s="21">
        <f>G$22*Assumptions!$H$106*Assumptions!$H$107</f>
        <v/>
      </c>
      <c r="H23" s="21">
        <f>H$22*Assumptions!$H$106*Assumptions!$H$107</f>
        <v/>
      </c>
      <c r="I23" s="21">
        <f>I$22*Assumptions!$H$106*Assumptions!$H$107</f>
        <v/>
      </c>
      <c r="J23" s="21">
        <f>J$22*Assumptions!$H$106*Assumptions!$H$107</f>
        <v/>
      </c>
      <c r="K23" s="21">
        <f>K$22*Assumptions!$H$106*Assumptions!$H$107</f>
        <v/>
      </c>
      <c r="L23" s="53">
        <f>L$22*Assumptions!$H$106*Assumptions!$H$107</f>
        <v/>
      </c>
      <c r="M23" s="21">
        <f>SUM(B23:K23)</f>
        <v/>
      </c>
    </row>
    <row r="24">
      <c r="A24" s="37" t="inlineStr">
        <is>
          <t>Retreats</t>
        </is>
      </c>
      <c r="B24" s="59">
        <f>Assumptions!$H$110*B$14*B$8</f>
        <v/>
      </c>
      <c r="C24" s="59">
        <f>Assumptions!$H$110*C$14*C$8</f>
        <v/>
      </c>
      <c r="D24" s="59">
        <f>Assumptions!$H$110*D$14*D$8</f>
        <v/>
      </c>
      <c r="E24" s="59">
        <f>Assumptions!$H$110*E$14*E$8</f>
        <v/>
      </c>
      <c r="F24" s="59">
        <f>Assumptions!$H$110*F$14*F$8</f>
        <v/>
      </c>
      <c r="G24" s="59">
        <f>Assumptions!$H$110*G$14*G$8</f>
        <v/>
      </c>
      <c r="H24" s="59">
        <f>Assumptions!$H$110*H$14*H$8</f>
        <v/>
      </c>
      <c r="I24" s="59">
        <f>Assumptions!$H$110*I$14*I$8</f>
        <v/>
      </c>
      <c r="J24" s="59">
        <f>Assumptions!$H$110*J$14*J$8</f>
        <v/>
      </c>
      <c r="K24" s="59">
        <f>Assumptions!$H$110*K$14*K$8</f>
        <v/>
      </c>
      <c r="L24" s="60">
        <f>Assumptions!$H$110*L$14*L$8</f>
        <v/>
      </c>
      <c r="M24" s="59">
        <f>SUM(B24:K24)</f>
        <v/>
      </c>
    </row>
    <row r="25">
      <c r="A25" s="37" t="inlineStr">
        <is>
          <t>Guests per retreat (capped at beds installed)</t>
        </is>
      </c>
      <c r="B25" s="21">
        <f>MIN(Assumptions!$H$111,Assumptions!$H$18*B$20)</f>
        <v/>
      </c>
      <c r="C25" s="21">
        <f>MIN(Assumptions!$H$111,Assumptions!$H$18*C$20)</f>
        <v/>
      </c>
      <c r="D25" s="21">
        <f>MIN(Assumptions!$H$111,Assumptions!$H$18*D$20)</f>
        <v/>
      </c>
      <c r="E25" s="21">
        <f>MIN(Assumptions!$H$111,Assumptions!$H$18*E$20)</f>
        <v/>
      </c>
      <c r="F25" s="21">
        <f>MIN(Assumptions!$H$111,Assumptions!$H$18*F$20)</f>
        <v/>
      </c>
      <c r="G25" s="21">
        <f>MIN(Assumptions!$H$111,Assumptions!$H$18*G$20)</f>
        <v/>
      </c>
      <c r="H25" s="21">
        <f>MIN(Assumptions!$H$111,Assumptions!$H$18*H$20)</f>
        <v/>
      </c>
      <c r="I25" s="21">
        <f>MIN(Assumptions!$H$111,Assumptions!$H$18*I$20)</f>
        <v/>
      </c>
      <c r="J25" s="21">
        <f>MIN(Assumptions!$H$111,Assumptions!$H$18*J$20)</f>
        <v/>
      </c>
      <c r="K25" s="21">
        <f>MIN(Assumptions!$H$111,Assumptions!$H$18*K$20)</f>
        <v/>
      </c>
      <c r="L25" s="53">
        <f>MIN(Assumptions!$H$111,Assumptions!$H$18*L$20)</f>
        <v/>
      </c>
      <c r="N25" s="54" t="inlineStr">
        <is>
          <t>Capped at beds installed (24 with 12 cabins)</t>
        </is>
      </c>
    </row>
    <row r="26">
      <c r="A26" s="37" t="inlineStr">
        <is>
          <t>Retreat guest-nights (one night per day on site)</t>
        </is>
      </c>
      <c r="B26" s="21">
        <f>B$24*B$25*Assumptions!$H$112</f>
        <v/>
      </c>
      <c r="C26" s="21">
        <f>C$24*C$25*Assumptions!$H$112</f>
        <v/>
      </c>
      <c r="D26" s="21">
        <f>D$24*D$25*Assumptions!$H$112</f>
        <v/>
      </c>
      <c r="E26" s="21">
        <f>E$24*E$25*Assumptions!$H$112</f>
        <v/>
      </c>
      <c r="F26" s="21">
        <f>F$24*F$25*Assumptions!$H$112</f>
        <v/>
      </c>
      <c r="G26" s="21">
        <f>G$24*G$25*Assumptions!$H$112</f>
        <v/>
      </c>
      <c r="H26" s="21">
        <f>H$24*H$25*Assumptions!$H$112</f>
        <v/>
      </c>
      <c r="I26" s="21">
        <f>I$24*I$25*Assumptions!$H$112</f>
        <v/>
      </c>
      <c r="J26" s="21">
        <f>J$24*J$25*Assumptions!$H$112</f>
        <v/>
      </c>
      <c r="K26" s="21">
        <f>K$24*K$25*Assumptions!$H$112</f>
        <v/>
      </c>
      <c r="L26" s="53">
        <f>L$24*L$25*Assumptions!$H$112</f>
        <v/>
      </c>
      <c r="M26" s="21">
        <f>SUM(B26:K26)</f>
        <v/>
      </c>
    </row>
    <row r="27">
      <c r="A27" s="37" t="inlineStr">
        <is>
          <t>Program weekends</t>
        </is>
      </c>
      <c r="B27" s="59">
        <f>Assumptions!$H$114*B$14*B$8</f>
        <v/>
      </c>
      <c r="C27" s="59">
        <f>Assumptions!$H$114*C$14*C$8</f>
        <v/>
      </c>
      <c r="D27" s="59">
        <f>Assumptions!$H$114*D$14*D$8</f>
        <v/>
      </c>
      <c r="E27" s="59">
        <f>Assumptions!$H$114*E$14*E$8</f>
        <v/>
      </c>
      <c r="F27" s="59">
        <f>Assumptions!$H$114*F$14*F$8</f>
        <v/>
      </c>
      <c r="G27" s="59">
        <f>Assumptions!$H$114*G$14*G$8</f>
        <v/>
      </c>
      <c r="H27" s="59">
        <f>Assumptions!$H$114*H$14*H$8</f>
        <v/>
      </c>
      <c r="I27" s="59">
        <f>Assumptions!$H$114*I$14*I$8</f>
        <v/>
      </c>
      <c r="J27" s="59">
        <f>Assumptions!$H$114*J$14*J$8</f>
        <v/>
      </c>
      <c r="K27" s="59">
        <f>Assumptions!$H$114*K$14*K$8</f>
        <v/>
      </c>
      <c r="L27" s="60">
        <f>Assumptions!$H$114*L$14*L$8</f>
        <v/>
      </c>
      <c r="M27" s="59">
        <f>SUM(B27:K27)</f>
        <v/>
      </c>
    </row>
    <row r="28">
      <c r="A28" s="37" t="inlineStr">
        <is>
          <t>Guests per program weekend (capped at beds installed)</t>
        </is>
      </c>
      <c r="B28" s="21">
        <f>MIN(Assumptions!$H$115,Assumptions!$H$18*B$20)</f>
        <v/>
      </c>
      <c r="C28" s="21">
        <f>MIN(Assumptions!$H$115,Assumptions!$H$18*C$20)</f>
        <v/>
      </c>
      <c r="D28" s="21">
        <f>MIN(Assumptions!$H$115,Assumptions!$H$18*D$20)</f>
        <v/>
      </c>
      <c r="E28" s="21">
        <f>MIN(Assumptions!$H$115,Assumptions!$H$18*E$20)</f>
        <v/>
      </c>
      <c r="F28" s="21">
        <f>MIN(Assumptions!$H$115,Assumptions!$H$18*F$20)</f>
        <v/>
      </c>
      <c r="G28" s="21">
        <f>MIN(Assumptions!$H$115,Assumptions!$H$18*G$20)</f>
        <v/>
      </c>
      <c r="H28" s="21">
        <f>MIN(Assumptions!$H$115,Assumptions!$H$18*H$20)</f>
        <v/>
      </c>
      <c r="I28" s="21">
        <f>MIN(Assumptions!$H$115,Assumptions!$H$18*I$20)</f>
        <v/>
      </c>
      <c r="J28" s="21">
        <f>MIN(Assumptions!$H$115,Assumptions!$H$18*J$20)</f>
        <v/>
      </c>
      <c r="K28" s="21">
        <f>MIN(Assumptions!$H$115,Assumptions!$H$18*K$20)</f>
        <v/>
      </c>
      <c r="L28" s="53">
        <f>MIN(Assumptions!$H$115,Assumptions!$H$18*L$20)</f>
        <v/>
      </c>
    </row>
    <row r="29">
      <c r="A29" s="37" t="inlineStr">
        <is>
          <t>Full-site takeovers</t>
        </is>
      </c>
      <c r="B29" s="59">
        <f>Assumptions!$H$118*B$14*B$8</f>
        <v/>
      </c>
      <c r="C29" s="59">
        <f>Assumptions!$H$118*C$14*C$8</f>
        <v/>
      </c>
      <c r="D29" s="59">
        <f>Assumptions!$H$118*D$14*D$8</f>
        <v/>
      </c>
      <c r="E29" s="59">
        <f>Assumptions!$H$118*E$14*E$8</f>
        <v/>
      </c>
      <c r="F29" s="59">
        <f>Assumptions!$H$118*F$14*F$8</f>
        <v/>
      </c>
      <c r="G29" s="59">
        <f>Assumptions!$H$118*G$14*G$8</f>
        <v/>
      </c>
      <c r="H29" s="59">
        <f>Assumptions!$H$118*H$14*H$8</f>
        <v/>
      </c>
      <c r="I29" s="59">
        <f>Assumptions!$H$118*I$14*I$8</f>
        <v/>
      </c>
      <c r="J29" s="59">
        <f>Assumptions!$H$118*J$14*J$8</f>
        <v/>
      </c>
      <c r="K29" s="59">
        <f>Assumptions!$H$118*K$14*K$8</f>
        <v/>
      </c>
      <c r="L29" s="60">
        <f>Assumptions!$H$118*L$14*L$8</f>
        <v/>
      </c>
      <c r="M29" s="59">
        <f>SUM(B29:K29)</f>
        <v/>
      </c>
    </row>
    <row r="30">
      <c r="A30" s="37" t="inlineStr">
        <is>
          <t>Performances</t>
        </is>
      </c>
      <c r="B30" s="59">
        <f>Assumptions!$H$123*B$14*B$8</f>
        <v/>
      </c>
      <c r="C30" s="59">
        <f>Assumptions!$H$123*C$14*C$8</f>
        <v/>
      </c>
      <c r="D30" s="59">
        <f>Assumptions!$H$123*D$14*D$8</f>
        <v/>
      </c>
      <c r="E30" s="59">
        <f>Assumptions!$H$123*E$14*E$8</f>
        <v/>
      </c>
      <c r="F30" s="59">
        <f>Assumptions!$H$123*F$14*F$8</f>
        <v/>
      </c>
      <c r="G30" s="59">
        <f>Assumptions!$H$123*G$14*G$8</f>
        <v/>
      </c>
      <c r="H30" s="59">
        <f>Assumptions!$H$123*H$14*H$8</f>
        <v/>
      </c>
      <c r="I30" s="59">
        <f>Assumptions!$H$123*I$14*I$8</f>
        <v/>
      </c>
      <c r="J30" s="59">
        <f>Assumptions!$H$123*J$14*J$8</f>
        <v/>
      </c>
      <c r="K30" s="59">
        <f>Assumptions!$H$123*K$14*K$8</f>
        <v/>
      </c>
      <c r="L30" s="60">
        <f>Assumptions!$H$123*L$14*L$8</f>
        <v/>
      </c>
      <c r="M30" s="59">
        <f>SUM(B30:K30)</f>
        <v/>
      </c>
    </row>
    <row r="31">
      <c r="A31" s="37" t="inlineStr">
        <is>
          <t>Large events (performances + takeovers)</t>
        </is>
      </c>
      <c r="B31" s="59">
        <f>B$29+B$30</f>
        <v/>
      </c>
      <c r="C31" s="59">
        <f>C$29+C$30</f>
        <v/>
      </c>
      <c r="D31" s="59">
        <f>D$29+D$30</f>
        <v/>
      </c>
      <c r="E31" s="59">
        <f>E$29+E$30</f>
        <v/>
      </c>
      <c r="F31" s="59">
        <f>F$29+F$30</f>
        <v/>
      </c>
      <c r="G31" s="59">
        <f>G$29+G$30</f>
        <v/>
      </c>
      <c r="H31" s="59">
        <f>H$29+H$30</f>
        <v/>
      </c>
      <c r="I31" s="59">
        <f>I$29+I$30</f>
        <v/>
      </c>
      <c r="J31" s="59">
        <f>J$29+J$30</f>
        <v/>
      </c>
      <c r="K31" s="59">
        <f>K$29+K$30</f>
        <v/>
      </c>
      <c r="L31" s="60">
        <f>L$29+L$30</f>
        <v/>
      </c>
      <c r="M31" s="59">
        <f>SUM(B31:K31)</f>
        <v/>
      </c>
    </row>
    <row r="32">
      <c r="A32" s="37" t="inlineStr">
        <is>
          <t>Cabin nights: retreat guests (inside the all-in retreat price)</t>
        </is>
      </c>
      <c r="B32" s="21">
        <f>B$26/Assumptions!$H$101</f>
        <v/>
      </c>
      <c r="C32" s="21">
        <f>C$26/Assumptions!$H$101</f>
        <v/>
      </c>
      <c r="D32" s="21">
        <f>D$26/Assumptions!$H$101</f>
        <v/>
      </c>
      <c r="E32" s="21">
        <f>E$26/Assumptions!$H$101</f>
        <v/>
      </c>
      <c r="F32" s="21">
        <f>F$26/Assumptions!$H$101</f>
        <v/>
      </c>
      <c r="G32" s="21">
        <f>G$26/Assumptions!$H$101</f>
        <v/>
      </c>
      <c r="H32" s="21">
        <f>H$26/Assumptions!$H$101</f>
        <v/>
      </c>
      <c r="I32" s="21">
        <f>I$26/Assumptions!$H$101</f>
        <v/>
      </c>
      <c r="J32" s="21">
        <f>J$26/Assumptions!$H$101</f>
        <v/>
      </c>
      <c r="K32" s="21">
        <f>K$26/Assumptions!$H$101</f>
        <v/>
      </c>
      <c r="L32" s="53">
        <f>L$26/Assumptions!$H$101</f>
        <v/>
      </c>
      <c r="M32" s="21">
        <f>SUM(B32:K32)</f>
        <v/>
      </c>
      <c r="N32" s="54" t="inlineStr">
        <is>
          <t>Counted in occupancy, supplies and utilization; not billed again</t>
        </is>
      </c>
    </row>
    <row r="33">
      <c r="A33" s="37" t="inlineStr">
        <is>
          <t>Cabin nights billed: program weekend guests</t>
        </is>
      </c>
      <c r="B33" s="21">
        <f>B$27*B$28*Assumptions!$H$116/Assumptions!$H$101</f>
        <v/>
      </c>
      <c r="C33" s="21">
        <f>C$27*C$28*Assumptions!$H$116/Assumptions!$H$101</f>
        <v/>
      </c>
      <c r="D33" s="21">
        <f>D$27*D$28*Assumptions!$H$116/Assumptions!$H$101</f>
        <v/>
      </c>
      <c r="E33" s="21">
        <f>E$27*E$28*Assumptions!$H$116/Assumptions!$H$101</f>
        <v/>
      </c>
      <c r="F33" s="21">
        <f>F$27*F$28*Assumptions!$H$116/Assumptions!$H$101</f>
        <v/>
      </c>
      <c r="G33" s="21">
        <f>G$27*G$28*Assumptions!$H$116/Assumptions!$H$101</f>
        <v/>
      </c>
      <c r="H33" s="21">
        <f>H$27*H$28*Assumptions!$H$116/Assumptions!$H$101</f>
        <v/>
      </c>
      <c r="I33" s="21">
        <f>I$27*I$28*Assumptions!$H$116/Assumptions!$H$101</f>
        <v/>
      </c>
      <c r="J33" s="21">
        <f>J$27*J$28*Assumptions!$H$116/Assumptions!$H$101</f>
        <v/>
      </c>
      <c r="K33" s="21">
        <f>K$27*K$28*Assumptions!$H$116/Assumptions!$H$101</f>
        <v/>
      </c>
      <c r="L33" s="53">
        <f>L$27*L$28*Assumptions!$H$116/Assumptions!$H$101</f>
        <v/>
      </c>
      <c r="M33" s="21">
        <f>SUM(B33:K33)</f>
        <v/>
      </c>
    </row>
    <row r="34">
      <c r="A34" s="37" t="inlineStr">
        <is>
          <t>Cabin nights billed: takeovers (whole site)</t>
        </is>
      </c>
      <c r="B34" s="21">
        <f>B$29*B$20*Assumptions!$H$121</f>
        <v/>
      </c>
      <c r="C34" s="21">
        <f>C$29*C$20*Assumptions!$H$121</f>
        <v/>
      </c>
      <c r="D34" s="21">
        <f>D$29*D$20*Assumptions!$H$121</f>
        <v/>
      </c>
      <c r="E34" s="21">
        <f>E$29*E$20*Assumptions!$H$121</f>
        <v/>
      </c>
      <c r="F34" s="21">
        <f>F$29*F$20*Assumptions!$H$121</f>
        <v/>
      </c>
      <c r="G34" s="21">
        <f>G$29*G$20*Assumptions!$H$121</f>
        <v/>
      </c>
      <c r="H34" s="21">
        <f>H$29*H$20*Assumptions!$H$121</f>
        <v/>
      </c>
      <c r="I34" s="21">
        <f>I$29*I$20*Assumptions!$H$121</f>
        <v/>
      </c>
      <c r="J34" s="21">
        <f>J$29*J$20*Assumptions!$H$121</f>
        <v/>
      </c>
      <c r="K34" s="21">
        <f>K$29*K$20*Assumptions!$H$121</f>
        <v/>
      </c>
      <c r="L34" s="53">
        <f>L$29*L$20*Assumptions!$H$121</f>
        <v/>
      </c>
      <c r="M34" s="21">
        <f>SUM(B34:K34)</f>
        <v/>
      </c>
    </row>
    <row r="35">
      <c r="A35" s="37" t="inlineStr">
        <is>
          <t>Cabin nights billed: public stays (not allowed in the Ojai Valley)</t>
        </is>
      </c>
      <c r="B35" s="21">
        <f>B$21*Assumptions!$H$100</f>
        <v/>
      </c>
      <c r="C35" s="21">
        <f>C$21*Assumptions!$H$100</f>
        <v/>
      </c>
      <c r="D35" s="21">
        <f>D$21*Assumptions!$H$100</f>
        <v/>
      </c>
      <c r="E35" s="21">
        <f>E$21*Assumptions!$H$100</f>
        <v/>
      </c>
      <c r="F35" s="21">
        <f>F$21*Assumptions!$H$100</f>
        <v/>
      </c>
      <c r="G35" s="21">
        <f>G$21*Assumptions!$H$100</f>
        <v/>
      </c>
      <c r="H35" s="21">
        <f>H$21*Assumptions!$H$100</f>
        <v/>
      </c>
      <c r="I35" s="21">
        <f>I$21*Assumptions!$H$100</f>
        <v/>
      </c>
      <c r="J35" s="21">
        <f>J$21*Assumptions!$H$100</f>
        <v/>
      </c>
      <c r="K35" s="21">
        <f>K$21*Assumptions!$H$100</f>
        <v/>
      </c>
      <c r="L35" s="53">
        <f>L$21*Assumptions!$H$100</f>
        <v/>
      </c>
      <c r="M35" s="21">
        <f>SUM(B35:K35)</f>
        <v/>
      </c>
    </row>
    <row r="36">
      <c r="A36" s="37" t="inlineStr">
        <is>
          <t>Cabin nights billed at the nightly rate (weekends, takeovers)</t>
        </is>
      </c>
      <c r="B36" s="21">
        <f>B$33+B$34+B$35</f>
        <v/>
      </c>
      <c r="C36" s="21">
        <f>C$33+C$34+C$35</f>
        <v/>
      </c>
      <c r="D36" s="21">
        <f>D$33+D$34+D$35</f>
        <v/>
      </c>
      <c r="E36" s="21">
        <f>E$33+E$34+E$35</f>
        <v/>
      </c>
      <c r="F36" s="21">
        <f>F$33+F$34+F$35</f>
        <v/>
      </c>
      <c r="G36" s="21">
        <f>G$33+G$34+G$35</f>
        <v/>
      </c>
      <c r="H36" s="21">
        <f>H$33+H$34+H$35</f>
        <v/>
      </c>
      <c r="I36" s="21">
        <f>I$33+I$34+I$35</f>
        <v/>
      </c>
      <c r="J36" s="21">
        <f>J$33+J$34+J$35</f>
        <v/>
      </c>
      <c r="K36" s="21">
        <f>K$33+K$34+K$35</f>
        <v/>
      </c>
      <c r="L36" s="53">
        <f>L$33+L$34+L$35</f>
        <v/>
      </c>
      <c r="M36" s="21">
        <f>SUM(B36:K36)</f>
        <v/>
      </c>
    </row>
    <row r="37">
      <c r="A37" s="37" t="inlineStr">
        <is>
          <t>Paid cabin nights (program guests, incl. retreats)</t>
        </is>
      </c>
      <c r="B37" s="21">
        <f>B$32+B$36</f>
        <v/>
      </c>
      <c r="C37" s="21">
        <f>C$32+C$36</f>
        <v/>
      </c>
      <c r="D37" s="21">
        <f>D$32+D$36</f>
        <v/>
      </c>
      <c r="E37" s="21">
        <f>E$32+E$36</f>
        <v/>
      </c>
      <c r="F37" s="21">
        <f>F$32+F$36</f>
        <v/>
      </c>
      <c r="G37" s="21">
        <f>G$32+G$36</f>
        <v/>
      </c>
      <c r="H37" s="21">
        <f>H$32+H$36</f>
        <v/>
      </c>
      <c r="I37" s="21">
        <f>I$32+I$36</f>
        <v/>
      </c>
      <c r="J37" s="21">
        <f>J$32+J$36</f>
        <v/>
      </c>
      <c r="K37" s="21">
        <f>K$32+K$36</f>
        <v/>
      </c>
      <c r="L37" s="53">
        <f>L$32+L$36</f>
        <v/>
      </c>
      <c r="M37" s="21">
        <f>SUM(B37:K37)</f>
        <v/>
      </c>
    </row>
    <row r="38">
      <c r="A38" s="37" t="inlineStr">
        <is>
          <t>Paid occupancy (program guests)</t>
        </is>
      </c>
      <c r="B38" s="55">
        <f>IF(B$21&gt;0,B$37/B$21,0)</f>
        <v/>
      </c>
      <c r="C38" s="55">
        <f>IF(C$21&gt;0,C$37/C$21,0)</f>
        <v/>
      </c>
      <c r="D38" s="55">
        <f>IF(D$21&gt;0,D$37/D$21,0)</f>
        <v/>
      </c>
      <c r="E38" s="55">
        <f>IF(E$21&gt;0,E$37/E$21,0)</f>
        <v/>
      </c>
      <c r="F38" s="55">
        <f>IF(F$21&gt;0,F$37/F$21,0)</f>
        <v/>
      </c>
      <c r="G38" s="55">
        <f>IF(G$21&gt;0,G$37/G$21,0)</f>
        <v/>
      </c>
      <c r="H38" s="55">
        <f>IF(H$21&gt;0,H$37/H$21,0)</f>
        <v/>
      </c>
      <c r="I38" s="55">
        <f>IF(I$21&gt;0,I$37/I$21,0)</f>
        <v/>
      </c>
      <c r="J38" s="55">
        <f>IF(J$21&gt;0,J$37/J$21,0)</f>
        <v/>
      </c>
      <c r="K38" s="55">
        <f>IF(K$21&gt;0,K$37/K$21,0)</f>
        <v/>
      </c>
      <c r="L38" s="56">
        <f>IF(L$21&gt;0,L$37/L$21,0)</f>
        <v/>
      </c>
      <c r="N38" s="54" t="inlineStr">
        <is>
          <t>Program guests only, incl. retreats: no public short-term rentals (TRU overlay)</t>
        </is>
      </c>
    </row>
    <row r="39">
      <c r="A39" s="37" t="inlineStr">
        <is>
          <t>Occupied cabin nights (paid + residency)</t>
        </is>
      </c>
      <c r="B39" s="21">
        <f>B$37+B$23</f>
        <v/>
      </c>
      <c r="C39" s="21">
        <f>C$37+C$23</f>
        <v/>
      </c>
      <c r="D39" s="21">
        <f>D$37+D$23</f>
        <v/>
      </c>
      <c r="E39" s="21">
        <f>E$37+E$23</f>
        <v/>
      </c>
      <c r="F39" s="21">
        <f>F$37+F$23</f>
        <v/>
      </c>
      <c r="G39" s="21">
        <f>G$37+G$23</f>
        <v/>
      </c>
      <c r="H39" s="21">
        <f>H$37+H$23</f>
        <v/>
      </c>
      <c r="I39" s="21">
        <f>I$37+I$23</f>
        <v/>
      </c>
      <c r="J39" s="21">
        <f>J$37+J$23</f>
        <v/>
      </c>
      <c r="K39" s="21">
        <f>K$37+K$23</f>
        <v/>
      </c>
      <c r="L39" s="53">
        <f>L$37+L$23</f>
        <v/>
      </c>
      <c r="M39" s="21">
        <f>SUM(B39:K39)</f>
        <v/>
      </c>
    </row>
    <row r="40">
      <c r="A40" s="37" t="inlineStr">
        <is>
          <t>Utilization (occupied / available)</t>
        </is>
      </c>
      <c r="B40" s="55">
        <f>IF(B$21&gt;0,B$39/B$21,0)</f>
        <v/>
      </c>
      <c r="C40" s="55">
        <f>IF(C$21&gt;0,C$39/C$21,0)</f>
        <v/>
      </c>
      <c r="D40" s="55">
        <f>IF(D$21&gt;0,D$39/D$21,0)</f>
        <v/>
      </c>
      <c r="E40" s="55">
        <f>IF(E$21&gt;0,E$39/E$21,0)</f>
        <v/>
      </c>
      <c r="F40" s="55">
        <f>IF(F$21&gt;0,F$39/F$21,0)</f>
        <v/>
      </c>
      <c r="G40" s="55">
        <f>IF(G$21&gt;0,G$39/G$21,0)</f>
        <v/>
      </c>
      <c r="H40" s="55">
        <f>IF(H$21&gt;0,H$39/H$21,0)</f>
        <v/>
      </c>
      <c r="I40" s="55">
        <f>IF(I$21&gt;0,I$39/I$21,0)</f>
        <v/>
      </c>
      <c r="J40" s="55">
        <f>IF(J$21&gt;0,J$39/J$21,0)</f>
        <v/>
      </c>
      <c r="K40" s="55">
        <f>IF(K$21&gt;0,K$39/K$21,0)</f>
        <v/>
      </c>
      <c r="L40" s="56">
        <f>IF(L$21&gt;0,L$39/L$21,0)</f>
        <v/>
      </c>
    </row>
    <row r="41">
      <c r="A41" s="37" t="inlineStr">
        <is>
          <t>Staff in service (FTE)</t>
        </is>
      </c>
      <c r="B41" s="59">
        <f>Assumptions!$H$198*B$8+Assumptions!$H$200*B$8+Assumptions!$H$202*B$8+Assumptions!$H$204*B$8+Assumptions!$H$206*B$8+Assumptions!$H$208*B$8+Assumptions!$H$210*B$8+Assumptions!$H$212*B$8</f>
        <v/>
      </c>
      <c r="C41" s="59">
        <f>Assumptions!$H$198*C$8+Assumptions!$H$200*C$8+Assumptions!$H$202*C$8+Assumptions!$H$204*C$8+Assumptions!$H$206*C$8+Assumptions!$H$208*C$8+Assumptions!$H$210*C$8+Assumptions!$H$212*C$8</f>
        <v/>
      </c>
      <c r="D41" s="59">
        <f>Assumptions!$H$198*D$8+Assumptions!$H$200*D$8+Assumptions!$H$202*D$8+Assumptions!$H$204*D$8+Assumptions!$H$206*D$8+Assumptions!$H$208*D$8+Assumptions!$H$210*D$8+Assumptions!$H$212*D$8</f>
        <v/>
      </c>
      <c r="E41" s="59">
        <f>Assumptions!$H$198*E$8+Assumptions!$H$200*E$8+Assumptions!$H$202*E$8+Assumptions!$H$204*E$8+Assumptions!$H$206*E$8+Assumptions!$H$208*E$8+Assumptions!$H$210*E$8+Assumptions!$H$212*E$8</f>
        <v/>
      </c>
      <c r="F41" s="59">
        <f>Assumptions!$H$198*F$8+Assumptions!$H$200*F$8+Assumptions!$H$202*F$8+Assumptions!$H$204*F$8+Assumptions!$H$206*F$8+Assumptions!$H$208*F$8+Assumptions!$H$210*F$8+Assumptions!$H$212*F$8</f>
        <v/>
      </c>
      <c r="G41" s="59">
        <f>Assumptions!$H$198*G$8+Assumptions!$H$200*G$8+Assumptions!$H$202*G$8+Assumptions!$H$204*G$8+Assumptions!$H$206*G$8+Assumptions!$H$208*G$8+Assumptions!$H$210*G$8+Assumptions!$H$212*G$8</f>
        <v/>
      </c>
      <c r="H41" s="59">
        <f>Assumptions!$H$198*H$8+Assumptions!$H$200*H$8+Assumptions!$H$202*H$8+Assumptions!$H$204*H$8+Assumptions!$H$206*H$8+Assumptions!$H$208*H$8+Assumptions!$H$210*H$8+Assumptions!$H$212*H$8</f>
        <v/>
      </c>
      <c r="I41" s="59">
        <f>Assumptions!$H$198*I$8+Assumptions!$H$200*I$8+Assumptions!$H$202*I$8+Assumptions!$H$204*I$8+Assumptions!$H$206*I$8+Assumptions!$H$208*I$8+Assumptions!$H$210*I$8+Assumptions!$H$212*I$8</f>
        <v/>
      </c>
      <c r="J41" s="59">
        <f>Assumptions!$H$198*J$8+Assumptions!$H$200*J$8+Assumptions!$H$202*J$8+Assumptions!$H$204*J$8+Assumptions!$H$206*J$8+Assumptions!$H$208*J$8+Assumptions!$H$210*J$8+Assumptions!$H$212*J$8</f>
        <v/>
      </c>
      <c r="K41" s="59">
        <f>Assumptions!$H$198*K$8+Assumptions!$H$200*K$8+Assumptions!$H$202*K$8+Assumptions!$H$204*K$8+Assumptions!$H$206*K$8+Assumptions!$H$208*K$8+Assumptions!$H$210*K$8+Assumptions!$H$212*K$8</f>
        <v/>
      </c>
      <c r="L41" s="60">
        <f>Assumptions!$H$198*L$8+Assumptions!$H$200*L$8+Assumptions!$H$202*L$8+Assumptions!$H$204*L$8+Assumptions!$H$206*L$8+Assumptions!$H$208*L$8+Assumptions!$H$210*L$8+Assumptions!$H$212*L$8</f>
        <v/>
      </c>
      <c r="N41" s="54" t="inlineStr">
        <is>
          <t>Our core team on the Assumptions sheet</t>
        </is>
      </c>
    </row>
    <row r="42">
      <c r="A42" s="37" t="inlineStr">
        <is>
          <t>Land held at cost</t>
        </is>
      </c>
      <c r="B42" s="21">
        <f>Assumptions!$H$34*B$13</f>
        <v/>
      </c>
      <c r="C42" s="21">
        <f>Assumptions!$H$34*C$13</f>
        <v/>
      </c>
      <c r="D42" s="21">
        <f>Assumptions!$H$34*D$13</f>
        <v/>
      </c>
      <c r="E42" s="21">
        <f>Assumptions!$H$34*E$13</f>
        <v/>
      </c>
      <c r="F42" s="21">
        <f>Assumptions!$H$34*F$13</f>
        <v/>
      </c>
      <c r="G42" s="21">
        <f>Assumptions!$H$34*G$13</f>
        <v/>
      </c>
      <c r="H42" s="21">
        <f>Assumptions!$H$34*H$13</f>
        <v/>
      </c>
      <c r="I42" s="21">
        <f>Assumptions!$H$34*I$13</f>
        <v/>
      </c>
      <c r="J42" s="21">
        <f>Assumptions!$H$34*J$13</f>
        <v/>
      </c>
      <c r="K42" s="21">
        <f>Assumptions!$H$34*K$13</f>
        <v/>
      </c>
      <c r="L42" s="53">
        <f>Assumptions!$H$34*L$13</f>
        <v/>
      </c>
    </row>
    <row r="43">
      <c r="A43" s="37" t="inlineStr">
        <is>
          <t>Replacement value in service (insured, maintained)</t>
        </is>
      </c>
      <c r="B43" s="21">
        <f>'Sources &amp; Uses'!$G$70*B$8+'Sources &amp; Uses'!$G$71*B$9+'Sources &amp; Uses'!$G$72*B$10</f>
        <v/>
      </c>
      <c r="C43" s="21">
        <f>'Sources &amp; Uses'!$G$70*C$8+'Sources &amp; Uses'!$G$71*C$9+'Sources &amp; Uses'!$G$72*C$10</f>
        <v/>
      </c>
      <c r="D43" s="21">
        <f>'Sources &amp; Uses'!$G$70*D$8+'Sources &amp; Uses'!$G$71*D$9+'Sources &amp; Uses'!$G$72*D$10</f>
        <v/>
      </c>
      <c r="E43" s="21">
        <f>'Sources &amp; Uses'!$G$70*E$8+'Sources &amp; Uses'!$G$71*E$9+'Sources &amp; Uses'!$G$72*E$10</f>
        <v/>
      </c>
      <c r="F43" s="21">
        <f>'Sources &amp; Uses'!$G$70*F$8+'Sources &amp; Uses'!$G$71*F$9+'Sources &amp; Uses'!$G$72*F$10</f>
        <v/>
      </c>
      <c r="G43" s="21">
        <f>'Sources &amp; Uses'!$G$70*G$8+'Sources &amp; Uses'!$G$71*G$9+'Sources &amp; Uses'!$G$72*G$10</f>
        <v/>
      </c>
      <c r="H43" s="21">
        <f>'Sources &amp; Uses'!$G$70*H$8+'Sources &amp; Uses'!$G$71*H$9+'Sources &amp; Uses'!$G$72*H$10</f>
        <v/>
      </c>
      <c r="I43" s="21">
        <f>'Sources &amp; Uses'!$G$70*I$8+'Sources &amp; Uses'!$G$71*I$9+'Sources &amp; Uses'!$G$72*I$10</f>
        <v/>
      </c>
      <c r="J43" s="21">
        <f>'Sources &amp; Uses'!$G$70*J$8+'Sources &amp; Uses'!$G$71*J$9+'Sources &amp; Uses'!$G$72*J$10</f>
        <v/>
      </c>
      <c r="K43" s="21">
        <f>'Sources &amp; Uses'!$G$70*K$8+'Sources &amp; Uses'!$G$71*K$9+'Sources &amp; Uses'!$G$72*K$10</f>
        <v/>
      </c>
      <c r="L43" s="53">
        <f>'Sources &amp; Uses'!$G$70*L$8+'Sources &amp; Uses'!$G$71*L$9+'Sources &amp; Uses'!$G$72*L$10</f>
        <v/>
      </c>
    </row>
    <row r="44">
      <c r="A44" s="37" t="inlineStr">
        <is>
          <t>Assessed value (land + capitalized cost in service)</t>
        </is>
      </c>
      <c r="B44" s="21">
        <f>B$42+'Sources &amp; Uses'!$G$73*B$8+'Sources &amp; Uses'!$G$74*B$9+'Sources &amp; Uses'!$G$75*B$10</f>
        <v/>
      </c>
      <c r="C44" s="21">
        <f>C$42+'Sources &amp; Uses'!$G$73*C$8+'Sources &amp; Uses'!$G$74*C$9+'Sources &amp; Uses'!$G$75*C$10</f>
        <v/>
      </c>
      <c r="D44" s="21">
        <f>D$42+'Sources &amp; Uses'!$G$73*D$8+'Sources &amp; Uses'!$G$74*D$9+'Sources &amp; Uses'!$G$75*D$10</f>
        <v/>
      </c>
      <c r="E44" s="21">
        <f>E$42+'Sources &amp; Uses'!$G$73*E$8+'Sources &amp; Uses'!$G$74*E$9+'Sources &amp; Uses'!$G$75*E$10</f>
        <v/>
      </c>
      <c r="F44" s="21">
        <f>F$42+'Sources &amp; Uses'!$G$73*F$8+'Sources &amp; Uses'!$G$74*F$9+'Sources &amp; Uses'!$G$75*F$10</f>
        <v/>
      </c>
      <c r="G44" s="21">
        <f>G$42+'Sources &amp; Uses'!$G$73*G$8+'Sources &amp; Uses'!$G$74*G$9+'Sources &amp; Uses'!$G$75*G$10</f>
        <v/>
      </c>
      <c r="H44" s="21">
        <f>H$42+'Sources &amp; Uses'!$G$73*H$8+'Sources &amp; Uses'!$G$74*H$9+'Sources &amp; Uses'!$G$75*H$10</f>
        <v/>
      </c>
      <c r="I44" s="21">
        <f>I$42+'Sources &amp; Uses'!$G$73*I$8+'Sources &amp; Uses'!$G$74*I$9+'Sources &amp; Uses'!$G$75*I$10</f>
        <v/>
      </c>
      <c r="J44" s="21">
        <f>J$42+'Sources &amp; Uses'!$G$73*J$8+'Sources &amp; Uses'!$G$74*J$9+'Sources &amp; Uses'!$G$75*J$10</f>
        <v/>
      </c>
      <c r="K44" s="21">
        <f>K$42+'Sources &amp; Uses'!$G$73*K$8+'Sources &amp; Uses'!$G$74*K$9+'Sources &amp; Uses'!$G$75*K$10</f>
        <v/>
      </c>
      <c r="L44" s="53">
        <f>L$42+'Sources &amp; Uses'!$G$73*L$8+'Sources &amp; Uses'!$G$74*L$9+'Sources &amp; Uses'!$G$75*L$10</f>
        <v/>
      </c>
    </row>
    <row r="45">
      <c r="A45" s="7" t="inlineStr">
        <is>
          <t>EARNED REVENUE</t>
        </is>
      </c>
      <c r="B45" s="8" t="n"/>
      <c r="C45" s="8" t="n"/>
      <c r="D45" s="8" t="n"/>
      <c r="E45" s="8" t="n"/>
      <c r="F45" s="8" t="n"/>
      <c r="G45" s="8" t="n"/>
      <c r="H45" s="8" t="n"/>
      <c r="I45" s="8" t="n"/>
      <c r="J45" s="8" t="n"/>
      <c r="K45" s="8" t="n"/>
      <c r="L45" s="8" t="n"/>
      <c r="M45" s="8" t="n"/>
      <c r="N45" s="8" t="n"/>
    </row>
    <row r="46">
      <c r="A46" s="37" t="inlineStr">
        <is>
          <t>Cabin nights billed for program weekends and takeovers (lodging, before 8% TOT)</t>
        </is>
      </c>
      <c r="B46" s="21">
        <f>B$36*Assumptions!$H$99*B$18</f>
        <v/>
      </c>
      <c r="C46" s="21">
        <f>C$36*Assumptions!$H$99*C$18</f>
        <v/>
      </c>
      <c r="D46" s="21">
        <f>D$36*Assumptions!$H$99*D$18</f>
        <v/>
      </c>
      <c r="E46" s="21">
        <f>E$36*Assumptions!$H$99*E$18</f>
        <v/>
      </c>
      <c r="F46" s="21">
        <f>F$36*Assumptions!$H$99*F$18</f>
        <v/>
      </c>
      <c r="G46" s="21">
        <f>G$36*Assumptions!$H$99*G$18</f>
        <v/>
      </c>
      <c r="H46" s="21">
        <f>H$36*Assumptions!$H$99*H$18</f>
        <v/>
      </c>
      <c r="I46" s="21">
        <f>I$36*Assumptions!$H$99*I$18</f>
        <v/>
      </c>
      <c r="J46" s="21">
        <f>J$36*Assumptions!$H$99*J$18</f>
        <v/>
      </c>
      <c r="K46" s="21">
        <f>K$36*Assumptions!$H$99*K$18</f>
        <v/>
      </c>
      <c r="L46" s="53">
        <f>L$36*Assumptions!$H$99*L$18</f>
        <v/>
      </c>
      <c r="M46" s="21">
        <f>SUM(B46:K46)</f>
        <v/>
      </c>
      <c r="N46" s="54" t="inlineStr">
        <is>
          <t>Weekend and takeover nights only; 8% TOT collected on top (memo)</t>
        </is>
      </c>
    </row>
    <row r="47">
      <c r="A47" s="37" t="inlineStr">
        <is>
          <t>Food and beverage (weekend and takeover guests, performance bar, takeover catering)</t>
        </is>
      </c>
      <c r="B47" s="21">
        <f>(B$36*Assumptions!$H$101*Assumptions!$H$102+B$30*Assumptions!$H$124*Assumptions!$H$127+B$29*Assumptions!$H$120*Assumptions!$H$121*Assumptions!$H$122)*B$18</f>
        <v/>
      </c>
      <c r="C47" s="21">
        <f>(C$36*Assumptions!$H$101*Assumptions!$H$102+C$30*Assumptions!$H$124*Assumptions!$H$127+C$29*Assumptions!$H$120*Assumptions!$H$121*Assumptions!$H$122)*C$18</f>
        <v/>
      </c>
      <c r="D47" s="21">
        <f>(D$36*Assumptions!$H$101*Assumptions!$H$102+D$30*Assumptions!$H$124*Assumptions!$H$127+D$29*Assumptions!$H$120*Assumptions!$H$121*Assumptions!$H$122)*D$18</f>
        <v/>
      </c>
      <c r="E47" s="21">
        <f>(E$36*Assumptions!$H$101*Assumptions!$H$102+E$30*Assumptions!$H$124*Assumptions!$H$127+E$29*Assumptions!$H$120*Assumptions!$H$121*Assumptions!$H$122)*E$18</f>
        <v/>
      </c>
      <c r="F47" s="21">
        <f>(F$36*Assumptions!$H$101*Assumptions!$H$102+F$30*Assumptions!$H$124*Assumptions!$H$127+F$29*Assumptions!$H$120*Assumptions!$H$121*Assumptions!$H$122)*F$18</f>
        <v/>
      </c>
      <c r="G47" s="21">
        <f>(G$36*Assumptions!$H$101*Assumptions!$H$102+G$30*Assumptions!$H$124*Assumptions!$H$127+G$29*Assumptions!$H$120*Assumptions!$H$121*Assumptions!$H$122)*G$18</f>
        <v/>
      </c>
      <c r="H47" s="21">
        <f>(H$36*Assumptions!$H$101*Assumptions!$H$102+H$30*Assumptions!$H$124*Assumptions!$H$127+H$29*Assumptions!$H$120*Assumptions!$H$121*Assumptions!$H$122)*H$18</f>
        <v/>
      </c>
      <c r="I47" s="21">
        <f>(I$36*Assumptions!$H$101*Assumptions!$H$102+I$30*Assumptions!$H$124*Assumptions!$H$127+I$29*Assumptions!$H$120*Assumptions!$H$121*Assumptions!$H$122)*I$18</f>
        <v/>
      </c>
      <c r="J47" s="21">
        <f>(J$36*Assumptions!$H$101*Assumptions!$H$102+J$30*Assumptions!$H$124*Assumptions!$H$127+J$29*Assumptions!$H$120*Assumptions!$H$121*Assumptions!$H$122)*J$18</f>
        <v/>
      </c>
      <c r="K47" s="21">
        <f>(K$36*Assumptions!$H$101*Assumptions!$H$102+K$30*Assumptions!$H$124*Assumptions!$H$127+K$29*Assumptions!$H$120*Assumptions!$H$121*Assumptions!$H$122)*K$18</f>
        <v/>
      </c>
      <c r="L47" s="53">
        <f>(L$36*Assumptions!$H$101*Assumptions!$H$102+L$30*Assumptions!$H$124*Assumptions!$H$127+L$29*Assumptions!$H$120*Assumptions!$H$121*Assumptions!$H$122)*L$18</f>
        <v/>
      </c>
      <c r="M47" s="21">
        <f>SUM(B47:K47)</f>
        <v/>
      </c>
      <c r="N47" s="54" t="inlineStr">
        <is>
          <t>Retreat meals sit inside the all-in retreat price</t>
        </is>
      </c>
    </row>
    <row r="48">
      <c r="A48" s="37" t="inlineStr">
        <is>
          <t>Retreats (all-in price: lodging, meals and program)</t>
        </is>
      </c>
      <c r="B48" s="21">
        <f>B$24*B$25*Assumptions!$H$113*B$18</f>
        <v/>
      </c>
      <c r="C48" s="21">
        <f>C$24*C$25*Assumptions!$H$113*C$18</f>
        <v/>
      </c>
      <c r="D48" s="21">
        <f>D$24*D$25*Assumptions!$H$113*D$18</f>
        <v/>
      </c>
      <c r="E48" s="21">
        <f>E$24*E$25*Assumptions!$H$113*E$18</f>
        <v/>
      </c>
      <c r="F48" s="21">
        <f>F$24*F$25*Assumptions!$H$113*F$18</f>
        <v/>
      </c>
      <c r="G48" s="21">
        <f>G$24*G$25*Assumptions!$H$113*G$18</f>
        <v/>
      </c>
      <c r="H48" s="21">
        <f>H$24*H$25*Assumptions!$H$113*H$18</f>
        <v/>
      </c>
      <c r="I48" s="21">
        <f>I$24*I$25*Assumptions!$H$113*I$18</f>
        <v/>
      </c>
      <c r="J48" s="21">
        <f>J$24*J$25*Assumptions!$H$113*J$18</f>
        <v/>
      </c>
      <c r="K48" s="21">
        <f>K$24*K$25*Assumptions!$H$113*K$18</f>
        <v/>
      </c>
      <c r="L48" s="53">
        <f>L$24*L$25*Assumptions!$H$113*L$18</f>
        <v/>
      </c>
      <c r="M48" s="21">
        <f>SUM(B48:K48)</f>
        <v/>
      </c>
      <c r="N48" s="54" t="inlineStr">
        <is>
          <t>All-in USD 3,500 per guest (planning target, 14 Oct 2026): lodging, meals and program</t>
        </is>
      </c>
    </row>
    <row r="49">
      <c r="A49" s="37" t="inlineStr">
        <is>
          <t>Program weekends (program fees)</t>
        </is>
      </c>
      <c r="B49" s="21">
        <f>B$27*B$28*Assumptions!$H$116*Assumptions!$H$117*B$18</f>
        <v/>
      </c>
      <c r="C49" s="21">
        <f>C$27*C$28*Assumptions!$H$116*Assumptions!$H$117*C$18</f>
        <v/>
      </c>
      <c r="D49" s="21">
        <f>D$27*D$28*Assumptions!$H$116*Assumptions!$H$117*D$18</f>
        <v/>
      </c>
      <c r="E49" s="21">
        <f>E$27*E$28*Assumptions!$H$116*Assumptions!$H$117*E$18</f>
        <v/>
      </c>
      <c r="F49" s="21">
        <f>F$27*F$28*Assumptions!$H$116*Assumptions!$H$117*F$18</f>
        <v/>
      </c>
      <c r="G49" s="21">
        <f>G$27*G$28*Assumptions!$H$116*Assumptions!$H$117*G$18</f>
        <v/>
      </c>
      <c r="H49" s="21">
        <f>H$27*H$28*Assumptions!$H$116*Assumptions!$H$117*H$18</f>
        <v/>
      </c>
      <c r="I49" s="21">
        <f>I$27*I$28*Assumptions!$H$116*Assumptions!$H$117*I$18</f>
        <v/>
      </c>
      <c r="J49" s="21">
        <f>J$27*J$28*Assumptions!$H$116*Assumptions!$H$117*J$18</f>
        <v/>
      </c>
      <c r="K49" s="21">
        <f>K$27*K$28*Assumptions!$H$116*Assumptions!$H$117*K$18</f>
        <v/>
      </c>
      <c r="L49" s="53">
        <f>L$27*L$28*Assumptions!$H$116*Assumptions!$H$117*L$18</f>
        <v/>
      </c>
      <c r="M49" s="21">
        <f>SUM(B49:K49)</f>
        <v/>
      </c>
    </row>
    <row r="50">
      <c r="A50" s="37" t="inlineStr">
        <is>
          <t>Full-site takeovers (site fees)</t>
        </is>
      </c>
      <c r="B50" s="21">
        <f>B$29*Assumptions!$H$119*B$18</f>
        <v/>
      </c>
      <c r="C50" s="21">
        <f>C$29*Assumptions!$H$119*C$18</f>
        <v/>
      </c>
      <c r="D50" s="21">
        <f>D$29*Assumptions!$H$119*D$18</f>
        <v/>
      </c>
      <c r="E50" s="21">
        <f>E$29*Assumptions!$H$119*E$18</f>
        <v/>
      </c>
      <c r="F50" s="21">
        <f>F$29*Assumptions!$H$119*F$18</f>
        <v/>
      </c>
      <c r="G50" s="21">
        <f>G$29*Assumptions!$H$119*G$18</f>
        <v/>
      </c>
      <c r="H50" s="21">
        <f>H$29*Assumptions!$H$119*H$18</f>
        <v/>
      </c>
      <c r="I50" s="21">
        <f>I$29*Assumptions!$H$119*I$18</f>
        <v/>
      </c>
      <c r="J50" s="21">
        <f>J$29*Assumptions!$H$119*J$18</f>
        <v/>
      </c>
      <c r="K50" s="21">
        <f>K$29*Assumptions!$H$119*K$18</f>
        <v/>
      </c>
      <c r="L50" s="53">
        <f>L$29*Assumptions!$H$119*L$18</f>
        <v/>
      </c>
      <c r="M50" s="21">
        <f>SUM(B50:K50)</f>
        <v/>
      </c>
    </row>
    <row r="51">
      <c r="A51" s="37" t="inlineStr">
        <is>
          <t>Paid residencies (label or artist funded)</t>
        </is>
      </c>
      <c r="B51" s="21">
        <f>B$22*Assumptions!$H$108*Assumptions!$H$109*B$18</f>
        <v/>
      </c>
      <c r="C51" s="21">
        <f>C$22*Assumptions!$H$108*Assumptions!$H$109*C$18</f>
        <v/>
      </c>
      <c r="D51" s="21">
        <f>D$22*Assumptions!$H$108*Assumptions!$H$109*D$18</f>
        <v/>
      </c>
      <c r="E51" s="21">
        <f>E$22*Assumptions!$H$108*Assumptions!$H$109*E$18</f>
        <v/>
      </c>
      <c r="F51" s="21">
        <f>F$22*Assumptions!$H$108*Assumptions!$H$109*F$18</f>
        <v/>
      </c>
      <c r="G51" s="21">
        <f>G$22*Assumptions!$H$108*Assumptions!$H$109*G$18</f>
        <v/>
      </c>
      <c r="H51" s="21">
        <f>H$22*Assumptions!$H$108*Assumptions!$H$109*H$18</f>
        <v/>
      </c>
      <c r="I51" s="21">
        <f>I$22*Assumptions!$H$108*Assumptions!$H$109*I$18</f>
        <v/>
      </c>
      <c r="J51" s="21">
        <f>J$22*Assumptions!$H$108*Assumptions!$H$109*J$18</f>
        <v/>
      </c>
      <c r="K51" s="21">
        <f>K$22*Assumptions!$H$108*Assumptions!$H$109*K$18</f>
        <v/>
      </c>
      <c r="L51" s="53">
        <f>L$22*Assumptions!$H$108*Assumptions!$H$109*L$18</f>
        <v/>
      </c>
      <c r="M51" s="21">
        <f>SUM(B51:K51)</f>
        <v/>
      </c>
    </row>
    <row r="52">
      <c r="A52" s="37" t="inlineStr">
        <is>
          <t>Performances (tickets)</t>
        </is>
      </c>
      <c r="B52" s="21">
        <f>B$30*Assumptions!$H$124*Assumptions!$H$125*Assumptions!$H$126*B$18</f>
        <v/>
      </c>
      <c r="C52" s="21">
        <f>C$30*Assumptions!$H$124*Assumptions!$H$125*Assumptions!$H$126*C$18</f>
        <v/>
      </c>
      <c r="D52" s="21">
        <f>D$30*Assumptions!$H$124*Assumptions!$H$125*Assumptions!$H$126*D$18</f>
        <v/>
      </c>
      <c r="E52" s="21">
        <f>E$30*Assumptions!$H$124*Assumptions!$H$125*Assumptions!$H$126*E$18</f>
        <v/>
      </c>
      <c r="F52" s="21">
        <f>F$30*Assumptions!$H$124*Assumptions!$H$125*Assumptions!$H$126*F$18</f>
        <v/>
      </c>
      <c r="G52" s="21">
        <f>G$30*Assumptions!$H$124*Assumptions!$H$125*Assumptions!$H$126*G$18</f>
        <v/>
      </c>
      <c r="H52" s="21">
        <f>H$30*Assumptions!$H$124*Assumptions!$H$125*Assumptions!$H$126*H$18</f>
        <v/>
      </c>
      <c r="I52" s="21">
        <f>I$30*Assumptions!$H$124*Assumptions!$H$125*Assumptions!$H$126*I$18</f>
        <v/>
      </c>
      <c r="J52" s="21">
        <f>J$30*Assumptions!$H$124*Assumptions!$H$125*Assumptions!$H$126*J$18</f>
        <v/>
      </c>
      <c r="K52" s="21">
        <f>K$30*Assumptions!$H$124*Assumptions!$H$125*Assumptions!$H$126*K$18</f>
        <v/>
      </c>
      <c r="L52" s="53">
        <f>L$30*Assumptions!$H$124*Assumptions!$H$125*Assumptions!$H$126*L$18</f>
        <v/>
      </c>
      <c r="M52" s="21">
        <f>SUM(B52:K52)</f>
        <v/>
      </c>
      <c r="N52" s="54" t="inlineStr">
        <is>
          <t>150 seats x USD 80, every seat paid (planning target, 14 Oct 2026)</t>
        </is>
      </c>
    </row>
    <row r="53">
      <c r="A53" s="37" t="inlineStr">
        <is>
          <t>Membership</t>
        </is>
      </c>
      <c r="B53" s="21">
        <f>Assumptions!$H$132*Assumptions!$H$133*B$14*B$18</f>
        <v/>
      </c>
      <c r="C53" s="21">
        <f>Assumptions!$H$132*Assumptions!$H$133*C$14*C$18</f>
        <v/>
      </c>
      <c r="D53" s="21">
        <f>Assumptions!$H$132*Assumptions!$H$133*D$14*D$18</f>
        <v/>
      </c>
      <c r="E53" s="21">
        <f>Assumptions!$H$132*Assumptions!$H$133*E$14*E$18</f>
        <v/>
      </c>
      <c r="F53" s="21">
        <f>Assumptions!$H$132*Assumptions!$H$133*F$14*F$18</f>
        <v/>
      </c>
      <c r="G53" s="21">
        <f>Assumptions!$H$132*Assumptions!$H$133*G$14*G$18</f>
        <v/>
      </c>
      <c r="H53" s="21">
        <f>Assumptions!$H$132*Assumptions!$H$133*H$14*H$18</f>
        <v/>
      </c>
      <c r="I53" s="21">
        <f>Assumptions!$H$132*Assumptions!$H$133*I$14*I$18</f>
        <v/>
      </c>
      <c r="J53" s="21">
        <f>Assumptions!$H$132*Assumptions!$H$133*J$14*J$18</f>
        <v/>
      </c>
      <c r="K53" s="21">
        <f>Assumptions!$H$132*Assumptions!$H$133*K$14*K$18</f>
        <v/>
      </c>
      <c r="L53" s="53">
        <f>Assumptions!$H$132*Assumptions!$H$133*L$14*L$18</f>
        <v/>
      </c>
      <c r="M53" s="21">
        <f>SUM(B53:K53)</f>
        <v/>
      </c>
    </row>
    <row r="54">
      <c r="A54" s="37" t="inlineStr">
        <is>
          <t>Workshops</t>
        </is>
      </c>
      <c r="B54" s="21">
        <f>Assumptions!$H$134*Assumptions!$H$135*Assumptions!$H$136*B$14*B$8*B$18</f>
        <v/>
      </c>
      <c r="C54" s="21">
        <f>Assumptions!$H$134*Assumptions!$H$135*Assumptions!$H$136*C$14*C$8*C$18</f>
        <v/>
      </c>
      <c r="D54" s="21">
        <f>Assumptions!$H$134*Assumptions!$H$135*Assumptions!$H$136*D$14*D$8*D$18</f>
        <v/>
      </c>
      <c r="E54" s="21">
        <f>Assumptions!$H$134*Assumptions!$H$135*Assumptions!$H$136*E$14*E$8*E$18</f>
        <v/>
      </c>
      <c r="F54" s="21">
        <f>Assumptions!$H$134*Assumptions!$H$135*Assumptions!$H$136*F$14*F$8*F$18</f>
        <v/>
      </c>
      <c r="G54" s="21">
        <f>Assumptions!$H$134*Assumptions!$H$135*Assumptions!$H$136*G$14*G$8*G$18</f>
        <v/>
      </c>
      <c r="H54" s="21">
        <f>Assumptions!$H$134*Assumptions!$H$135*Assumptions!$H$136*H$14*H$8*H$18</f>
        <v/>
      </c>
      <c r="I54" s="21">
        <f>Assumptions!$H$134*Assumptions!$H$135*Assumptions!$H$136*I$14*I$8*I$18</f>
        <v/>
      </c>
      <c r="J54" s="21">
        <f>Assumptions!$H$134*Assumptions!$H$135*Assumptions!$H$136*J$14*J$8*J$18</f>
        <v/>
      </c>
      <c r="K54" s="21">
        <f>Assumptions!$H$134*Assumptions!$H$135*Assumptions!$H$136*K$14*K$8*K$18</f>
        <v/>
      </c>
      <c r="L54" s="53">
        <f>Assumptions!$H$134*Assumptions!$H$135*Assumptions!$H$136*L$14*L$8*L$18</f>
        <v/>
      </c>
      <c r="M54" s="21">
        <f>SUM(B54:K54)</f>
        <v/>
      </c>
    </row>
    <row r="55">
      <c r="A55" s="37" t="inlineStr">
        <is>
          <t>Studio bookings outside residencies</t>
        </is>
      </c>
      <c r="B55" s="21">
        <f>Assumptions!$H$137*Assumptions!$H$138*B$16*B$9*B$18</f>
        <v/>
      </c>
      <c r="C55" s="21">
        <f>Assumptions!$H$137*Assumptions!$H$138*C$16*C$9*C$18</f>
        <v/>
      </c>
      <c r="D55" s="21">
        <f>Assumptions!$H$137*Assumptions!$H$138*D$16*D$9*D$18</f>
        <v/>
      </c>
      <c r="E55" s="21">
        <f>Assumptions!$H$137*Assumptions!$H$138*E$16*E$9*E$18</f>
        <v/>
      </c>
      <c r="F55" s="21">
        <f>Assumptions!$H$137*Assumptions!$H$138*F$16*F$9*F$18</f>
        <v/>
      </c>
      <c r="G55" s="21">
        <f>Assumptions!$H$137*Assumptions!$H$138*G$16*G$9*G$18</f>
        <v/>
      </c>
      <c r="H55" s="21">
        <f>Assumptions!$H$137*Assumptions!$H$138*H$16*H$9*H$18</f>
        <v/>
      </c>
      <c r="I55" s="21">
        <f>Assumptions!$H$137*Assumptions!$H$138*I$16*I$9*I$18</f>
        <v/>
      </c>
      <c r="J55" s="21">
        <f>Assumptions!$H$137*Assumptions!$H$138*J$16*J$9*J$18</f>
        <v/>
      </c>
      <c r="K55" s="21">
        <f>Assumptions!$H$137*Assumptions!$H$138*K$16*K$9*K$18</f>
        <v/>
      </c>
      <c r="L55" s="53">
        <f>Assumptions!$H$137*Assumptions!$H$138*L$16*L$9*L$18</f>
        <v/>
      </c>
      <c r="M55" s="21">
        <f>SUM(B55:K55)</f>
        <v/>
      </c>
    </row>
    <row r="56">
      <c r="A56" s="37" t="inlineStr">
        <is>
          <t>Gallery sessions, kissa bar and shop</t>
        </is>
      </c>
      <c r="B56" s="21">
        <f>Assumptions!$H$139*B$17*B$10*B$18</f>
        <v/>
      </c>
      <c r="C56" s="21">
        <f>Assumptions!$H$139*C$17*C$10*C$18</f>
        <v/>
      </c>
      <c r="D56" s="21">
        <f>Assumptions!$H$139*D$17*D$10*D$18</f>
        <v/>
      </c>
      <c r="E56" s="21">
        <f>Assumptions!$H$139*E$17*E$10*E$18</f>
        <v/>
      </c>
      <c r="F56" s="21">
        <f>Assumptions!$H$139*F$17*F$10*F$18</f>
        <v/>
      </c>
      <c r="G56" s="21">
        <f>Assumptions!$H$139*G$17*G$10*G$18</f>
        <v/>
      </c>
      <c r="H56" s="21">
        <f>Assumptions!$H$139*H$17*H$10*H$18</f>
        <v/>
      </c>
      <c r="I56" s="21">
        <f>Assumptions!$H$139*I$17*I$10*I$18</f>
        <v/>
      </c>
      <c r="J56" s="21">
        <f>Assumptions!$H$139*J$17*J$10*J$18</f>
        <v/>
      </c>
      <c r="K56" s="21">
        <f>Assumptions!$H$139*K$17*K$10*K$18</f>
        <v/>
      </c>
      <c r="L56" s="53">
        <f>Assumptions!$H$139*L$17*L$10*L$18</f>
        <v/>
      </c>
      <c r="M56" s="21">
        <f>SUM(B56:K56)</f>
        <v/>
      </c>
    </row>
    <row r="57">
      <c r="A57" s="37" t="inlineStr">
        <is>
          <t>Stage 0 pop-ups (tickets and sponsors)</t>
        </is>
      </c>
      <c r="B57" s="21">
        <f>Assumptions!$H$140*B$12*B$18</f>
        <v/>
      </c>
      <c r="C57" s="21">
        <f>Assumptions!$H$140*C$12*C$18</f>
        <v/>
      </c>
      <c r="D57" s="21">
        <f>Assumptions!$H$140*D$12*D$18</f>
        <v/>
      </c>
      <c r="E57" s="21">
        <f>Assumptions!$H$140*E$12*E$18</f>
        <v/>
      </c>
      <c r="F57" s="21">
        <f>Assumptions!$H$140*F$12*F$18</f>
        <v/>
      </c>
      <c r="G57" s="21">
        <f>Assumptions!$H$140*G$12*G$18</f>
        <v/>
      </c>
      <c r="H57" s="21">
        <f>Assumptions!$H$140*H$12*H$18</f>
        <v/>
      </c>
      <c r="I57" s="21">
        <f>Assumptions!$H$140*I$12*I$18</f>
        <v/>
      </c>
      <c r="J57" s="21">
        <f>Assumptions!$H$140*J$12*J$18</f>
        <v/>
      </c>
      <c r="K57" s="21">
        <f>Assumptions!$H$140*K$12*K$18</f>
        <v/>
      </c>
      <c r="L57" s="53">
        <f>Assumptions!$H$140*L$12*L$18</f>
        <v/>
      </c>
      <c r="M57" s="21">
        <f>SUM(B57:K57)</f>
        <v/>
      </c>
    </row>
    <row r="58">
      <c r="A58" s="61" t="inlineStr">
        <is>
          <t>TOTAL EARNED REVENUE</t>
        </is>
      </c>
      <c r="B58" s="62">
        <f>SUM(B46:B57)</f>
        <v/>
      </c>
      <c r="C58" s="62">
        <f>SUM(C46:C57)</f>
        <v/>
      </c>
      <c r="D58" s="62">
        <f>SUM(D46:D57)</f>
        <v/>
      </c>
      <c r="E58" s="62">
        <f>SUM(E46:E57)</f>
        <v/>
      </c>
      <c r="F58" s="62">
        <f>SUM(F46:F57)</f>
        <v/>
      </c>
      <c r="G58" s="62">
        <f>SUM(G46:G57)</f>
        <v/>
      </c>
      <c r="H58" s="62">
        <f>SUM(H46:H57)</f>
        <v/>
      </c>
      <c r="I58" s="62">
        <f>SUM(I46:I57)</f>
        <v/>
      </c>
      <c r="J58" s="62">
        <f>SUM(J46:J57)</f>
        <v/>
      </c>
      <c r="K58" s="62">
        <f>SUM(K46:K57)</f>
        <v/>
      </c>
      <c r="L58" s="63">
        <f>SUM(L46:L57)</f>
        <v/>
      </c>
      <c r="M58" s="62">
        <f>SUM(B58:K58)</f>
        <v/>
      </c>
    </row>
    <row r="59">
      <c r="A59" s="7" t="inlineStr">
        <is>
          <t>CONTRIBUTED INCOME (shown separately)</t>
        </is>
      </c>
      <c r="B59" s="8" t="n"/>
      <c r="C59" s="8" t="n"/>
      <c r="D59" s="8" t="n"/>
      <c r="E59" s="8" t="n"/>
      <c r="F59" s="8" t="n"/>
      <c r="G59" s="8" t="n"/>
      <c r="H59" s="8" t="n"/>
      <c r="I59" s="8" t="n"/>
      <c r="J59" s="8" t="n"/>
      <c r="K59" s="8" t="n"/>
      <c r="L59" s="8" t="n"/>
      <c r="M59" s="8" t="n"/>
      <c r="N59" s="8" t="n"/>
    </row>
    <row r="60">
      <c r="A60" s="37" t="inlineStr">
        <is>
          <t>Patrons and founding members</t>
        </is>
      </c>
      <c r="B60" s="21">
        <f>Assumptions!$H$142*B$15*B$18</f>
        <v/>
      </c>
      <c r="C60" s="21">
        <f>Assumptions!$H$142*C$15*C$18</f>
        <v/>
      </c>
      <c r="D60" s="21">
        <f>Assumptions!$H$142*D$15*D$18</f>
        <v/>
      </c>
      <c r="E60" s="21">
        <f>Assumptions!$H$142*E$15*E$18</f>
        <v/>
      </c>
      <c r="F60" s="21">
        <f>Assumptions!$H$142*F$15*F$18</f>
        <v/>
      </c>
      <c r="G60" s="21">
        <f>Assumptions!$H$142*G$15*G$18</f>
        <v/>
      </c>
      <c r="H60" s="21">
        <f>Assumptions!$H$142*H$15*H$18</f>
        <v/>
      </c>
      <c r="I60" s="21">
        <f>Assumptions!$H$142*I$15*I$18</f>
        <v/>
      </c>
      <c r="J60" s="21">
        <f>Assumptions!$H$142*J$15*J$18</f>
        <v/>
      </c>
      <c r="K60" s="21">
        <f>Assumptions!$H$142*K$15*K$18</f>
        <v/>
      </c>
      <c r="L60" s="53">
        <f>Assumptions!$H$142*L$15*L$18</f>
        <v/>
      </c>
      <c r="M60" s="21">
        <f>SUM(B60:K60)</f>
        <v/>
      </c>
    </row>
    <row r="61">
      <c r="A61" s="37" t="inlineStr">
        <is>
          <t>Residency underwriting (foundations, labels, brands)</t>
        </is>
      </c>
      <c r="B61" s="21">
        <f>B$22*(1-Assumptions!$H$108)*Assumptions!$H$143*B$18</f>
        <v/>
      </c>
      <c r="C61" s="21">
        <f>C$22*(1-Assumptions!$H$108)*Assumptions!$H$143*C$18</f>
        <v/>
      </c>
      <c r="D61" s="21">
        <f>D$22*(1-Assumptions!$H$108)*Assumptions!$H$143*D$18</f>
        <v/>
      </c>
      <c r="E61" s="21">
        <f>E$22*(1-Assumptions!$H$108)*Assumptions!$H$143*E$18</f>
        <v/>
      </c>
      <c r="F61" s="21">
        <f>F$22*(1-Assumptions!$H$108)*Assumptions!$H$143*F$18</f>
        <v/>
      </c>
      <c r="G61" s="21">
        <f>G$22*(1-Assumptions!$H$108)*Assumptions!$H$143*G$18</f>
        <v/>
      </c>
      <c r="H61" s="21">
        <f>H$22*(1-Assumptions!$H$108)*Assumptions!$H$143*H$18</f>
        <v/>
      </c>
      <c r="I61" s="21">
        <f>I$22*(1-Assumptions!$H$108)*Assumptions!$H$143*I$18</f>
        <v/>
      </c>
      <c r="J61" s="21">
        <f>J$22*(1-Assumptions!$H$108)*Assumptions!$H$143*J$18</f>
        <v/>
      </c>
      <c r="K61" s="21">
        <f>K$22*(1-Assumptions!$H$108)*Assumptions!$H$143*K$18</f>
        <v/>
      </c>
      <c r="L61" s="53">
        <f>L$22*(1-Assumptions!$H$108)*Assumptions!$H$143*L$18</f>
        <v/>
      </c>
      <c r="M61" s="21">
        <f>SUM(B61:K61)</f>
        <v/>
      </c>
      <c r="N61" s="54" t="inlineStr">
        <is>
          <t>Fellowships: residencies not paid by labels or artists</t>
        </is>
      </c>
    </row>
    <row r="62">
      <c r="A62" s="37" t="inlineStr">
        <is>
          <t>Brand and gear partners (cash)</t>
        </is>
      </c>
      <c r="B62" s="21">
        <f>Assumptions!$H$144*B$15*B$18</f>
        <v/>
      </c>
      <c r="C62" s="21">
        <f>Assumptions!$H$144*C$15*C$18</f>
        <v/>
      </c>
      <c r="D62" s="21">
        <f>Assumptions!$H$144*D$15*D$18</f>
        <v/>
      </c>
      <c r="E62" s="21">
        <f>Assumptions!$H$144*E$15*E$18</f>
        <v/>
      </c>
      <c r="F62" s="21">
        <f>Assumptions!$H$144*F$15*F$18</f>
        <v/>
      </c>
      <c r="G62" s="21">
        <f>Assumptions!$H$144*G$15*G$18</f>
        <v/>
      </c>
      <c r="H62" s="21">
        <f>Assumptions!$H$144*H$15*H$18</f>
        <v/>
      </c>
      <c r="I62" s="21">
        <f>Assumptions!$H$144*I$15*I$18</f>
        <v/>
      </c>
      <c r="J62" s="21">
        <f>Assumptions!$H$144*J$15*J$18</f>
        <v/>
      </c>
      <c r="K62" s="21">
        <f>Assumptions!$H$144*K$15*K$18</f>
        <v/>
      </c>
      <c r="L62" s="53">
        <f>Assumptions!$H$144*L$15*L$18</f>
        <v/>
      </c>
      <c r="M62" s="21">
        <f>SUM(B62:K62)</f>
        <v/>
      </c>
    </row>
    <row r="63">
      <c r="A63" s="37" t="inlineStr">
        <is>
          <t>Grants (nonprofit arm or fiscal sponsor)</t>
        </is>
      </c>
      <c r="B63" s="21">
        <f>Assumptions!$H$145*B$15*B$18</f>
        <v/>
      </c>
      <c r="C63" s="21">
        <f>Assumptions!$H$145*C$15*C$18</f>
        <v/>
      </c>
      <c r="D63" s="21">
        <f>Assumptions!$H$145*D$15*D$18</f>
        <v/>
      </c>
      <c r="E63" s="21">
        <f>Assumptions!$H$145*E$15*E$18</f>
        <v/>
      </c>
      <c r="F63" s="21">
        <f>Assumptions!$H$145*F$15*F$18</f>
        <v/>
      </c>
      <c r="G63" s="21">
        <f>Assumptions!$H$145*G$15*G$18</f>
        <v/>
      </c>
      <c r="H63" s="21">
        <f>Assumptions!$H$145*H$15*H$18</f>
        <v/>
      </c>
      <c r="I63" s="21">
        <f>Assumptions!$H$145*I$15*I$18</f>
        <v/>
      </c>
      <c r="J63" s="21">
        <f>Assumptions!$H$145*J$15*J$18</f>
        <v/>
      </c>
      <c r="K63" s="21">
        <f>Assumptions!$H$145*K$15*K$18</f>
        <v/>
      </c>
      <c r="L63" s="53">
        <f>Assumptions!$H$145*L$15*L$18</f>
        <v/>
      </c>
      <c r="M63" s="21">
        <f>SUM(B63:K63)</f>
        <v/>
      </c>
    </row>
    <row r="64">
      <c r="A64" s="61" t="inlineStr">
        <is>
          <t>TOTAL CONTRIBUTED INCOME</t>
        </is>
      </c>
      <c r="B64" s="62">
        <f>SUM(B60:B63)</f>
        <v/>
      </c>
      <c r="C64" s="62">
        <f>SUM(C60:C63)</f>
        <v/>
      </c>
      <c r="D64" s="62">
        <f>SUM(D60:D63)</f>
        <v/>
      </c>
      <c r="E64" s="62">
        <f>SUM(E60:E63)</f>
        <v/>
      </c>
      <c r="F64" s="62">
        <f>SUM(F60:F63)</f>
        <v/>
      </c>
      <c r="G64" s="62">
        <f>SUM(G60:G63)</f>
        <v/>
      </c>
      <c r="H64" s="62">
        <f>SUM(H60:H63)</f>
        <v/>
      </c>
      <c r="I64" s="62">
        <f>SUM(I60:I63)</f>
        <v/>
      </c>
      <c r="J64" s="62">
        <f>SUM(J60:J63)</f>
        <v/>
      </c>
      <c r="K64" s="62">
        <f>SUM(K60:K63)</f>
        <v/>
      </c>
      <c r="L64" s="63">
        <f>SUM(L60:L63)</f>
        <v/>
      </c>
      <c r="M64" s="62">
        <f>SUM(B64:K64)</f>
        <v/>
      </c>
    </row>
    <row r="65">
      <c r="A65" s="64" t="inlineStr">
        <is>
          <t>Total revenue (earned + contributed)</t>
        </is>
      </c>
      <c r="B65" s="20">
        <f>B$58+B$64</f>
        <v/>
      </c>
      <c r="C65" s="20">
        <f>C$58+C$64</f>
        <v/>
      </c>
      <c r="D65" s="20">
        <f>D$58+D$64</f>
        <v/>
      </c>
      <c r="E65" s="20">
        <f>E$58+E$64</f>
        <v/>
      </c>
      <c r="F65" s="20">
        <f>F$58+F$64</f>
        <v/>
      </c>
      <c r="G65" s="20">
        <f>G$58+G$64</f>
        <v/>
      </c>
      <c r="H65" s="20">
        <f>H$58+H$64</f>
        <v/>
      </c>
      <c r="I65" s="20">
        <f>I$58+I$64</f>
        <v/>
      </c>
      <c r="J65" s="20">
        <f>J$58+J$64</f>
        <v/>
      </c>
      <c r="K65" s="20">
        <f>K$58+K$64</f>
        <v/>
      </c>
      <c r="L65" s="65">
        <f>L$58+L$64</f>
        <v/>
      </c>
      <c r="M65" s="20">
        <f>SUM(B65:K65)</f>
        <v/>
      </c>
    </row>
    <row r="66">
      <c r="A66" s="37" t="inlineStr">
        <is>
          <t>Earned share of total revenue</t>
        </is>
      </c>
      <c r="B66" s="55">
        <f>IF(B$65&gt;0,B$58/B$65,0)</f>
        <v/>
      </c>
      <c r="C66" s="55">
        <f>IF(C$65&gt;0,C$58/C$65,0)</f>
        <v/>
      </c>
      <c r="D66" s="55">
        <f>IF(D$65&gt;0,D$58/D$65,0)</f>
        <v/>
      </c>
      <c r="E66" s="55">
        <f>IF(E$65&gt;0,E$58/E$65,0)</f>
        <v/>
      </c>
      <c r="F66" s="55">
        <f>IF(F$65&gt;0,F$58/F$65,0)</f>
        <v/>
      </c>
      <c r="G66" s="55">
        <f>IF(G$65&gt;0,G$58/G$65,0)</f>
        <v/>
      </c>
      <c r="H66" s="55">
        <f>IF(H$65&gt;0,H$58/H$65,0)</f>
        <v/>
      </c>
      <c r="I66" s="55">
        <f>IF(I$65&gt;0,I$58/I$65,0)</f>
        <v/>
      </c>
      <c r="J66" s="55">
        <f>IF(J$65&gt;0,J$58/J$65,0)</f>
        <v/>
      </c>
      <c r="K66" s="55">
        <f>IF(K$65&gt;0,K$58/K$65,0)</f>
        <v/>
      </c>
      <c r="L66" s="56">
        <f>IF(L$65&gt;0,L$58/L$65,0)</f>
        <v/>
      </c>
    </row>
    <row r="67">
      <c r="A67" s="7" t="inlineStr">
        <is>
          <t>OPERATING EXPENSES</t>
        </is>
      </c>
      <c r="B67" s="8" t="n"/>
      <c r="C67" s="8" t="n"/>
      <c r="D67" s="8" t="n"/>
      <c r="E67" s="8" t="n"/>
      <c r="F67" s="8" t="n"/>
      <c r="G67" s="8" t="n"/>
      <c r="H67" s="8" t="n"/>
      <c r="I67" s="8" t="n"/>
      <c r="J67" s="8" t="n"/>
      <c r="K67" s="8" t="n"/>
      <c r="L67" s="8" t="n"/>
      <c r="M67" s="8" t="n"/>
      <c r="N67" s="8" t="n"/>
    </row>
    <row r="68">
      <c r="A68" s="66" t="inlineStr">
        <is>
          <t>Staff: CEO</t>
        </is>
      </c>
      <c r="B68" s="47">
        <f>Assumptions!$H$198*Assumptions!$H$199*Assumptions!$H$167*B$8*B$18</f>
        <v/>
      </c>
      <c r="C68" s="47">
        <f>Assumptions!$H$198*Assumptions!$H$199*Assumptions!$H$167*C$8*C$18</f>
        <v/>
      </c>
      <c r="D68" s="47">
        <f>Assumptions!$H$198*Assumptions!$H$199*Assumptions!$H$167*D$8*D$18</f>
        <v/>
      </c>
      <c r="E68" s="47">
        <f>Assumptions!$H$198*Assumptions!$H$199*Assumptions!$H$167*E$8*E$18</f>
        <v/>
      </c>
      <c r="F68" s="47">
        <f>Assumptions!$H$198*Assumptions!$H$199*Assumptions!$H$167*F$8*F$18</f>
        <v/>
      </c>
      <c r="G68" s="47">
        <f>Assumptions!$H$198*Assumptions!$H$199*Assumptions!$H$167*G$8*G$18</f>
        <v/>
      </c>
      <c r="H68" s="47">
        <f>Assumptions!$H$198*Assumptions!$H$199*Assumptions!$H$167*H$8*H$18</f>
        <v/>
      </c>
      <c r="I68" s="47">
        <f>Assumptions!$H$198*Assumptions!$H$199*Assumptions!$H$167*I$8*I$18</f>
        <v/>
      </c>
      <c r="J68" s="47">
        <f>Assumptions!$H$198*Assumptions!$H$199*Assumptions!$H$167*J$8*J$18</f>
        <v/>
      </c>
      <c r="K68" s="47">
        <f>Assumptions!$H$198*Assumptions!$H$199*Assumptions!$H$167*K$8*K$18</f>
        <v/>
      </c>
      <c r="L68" s="67">
        <f>Assumptions!$H$198*Assumptions!$H$199*Assumptions!$H$167*L$8*L$18</f>
        <v/>
      </c>
      <c r="M68" s="47">
        <f>SUM(B68:K68)</f>
        <v/>
      </c>
    </row>
    <row r="69">
      <c r="A69" s="66" t="inlineStr">
        <is>
          <t>Staff: COO</t>
        </is>
      </c>
      <c r="B69" s="47">
        <f>Assumptions!$H$200*Assumptions!$H$201*Assumptions!$H$167*B$8*B$18</f>
        <v/>
      </c>
      <c r="C69" s="47">
        <f>Assumptions!$H$200*Assumptions!$H$201*Assumptions!$H$167*C$8*C$18</f>
        <v/>
      </c>
      <c r="D69" s="47">
        <f>Assumptions!$H$200*Assumptions!$H$201*Assumptions!$H$167*D$8*D$18</f>
        <v/>
      </c>
      <c r="E69" s="47">
        <f>Assumptions!$H$200*Assumptions!$H$201*Assumptions!$H$167*E$8*E$18</f>
        <v/>
      </c>
      <c r="F69" s="47">
        <f>Assumptions!$H$200*Assumptions!$H$201*Assumptions!$H$167*F$8*F$18</f>
        <v/>
      </c>
      <c r="G69" s="47">
        <f>Assumptions!$H$200*Assumptions!$H$201*Assumptions!$H$167*G$8*G$18</f>
        <v/>
      </c>
      <c r="H69" s="47">
        <f>Assumptions!$H$200*Assumptions!$H$201*Assumptions!$H$167*H$8*H$18</f>
        <v/>
      </c>
      <c r="I69" s="47">
        <f>Assumptions!$H$200*Assumptions!$H$201*Assumptions!$H$167*I$8*I$18</f>
        <v/>
      </c>
      <c r="J69" s="47">
        <f>Assumptions!$H$200*Assumptions!$H$201*Assumptions!$H$167*J$8*J$18</f>
        <v/>
      </c>
      <c r="K69" s="47">
        <f>Assumptions!$H$200*Assumptions!$H$201*Assumptions!$H$167*K$8*K$18</f>
        <v/>
      </c>
      <c r="L69" s="67">
        <f>Assumptions!$H$200*Assumptions!$H$201*Assumptions!$H$167*L$8*L$18</f>
        <v/>
      </c>
      <c r="M69" s="47">
        <f>SUM(B69:K69)</f>
        <v/>
      </c>
    </row>
    <row r="70">
      <c r="A70" s="66" t="inlineStr">
        <is>
          <t>Staff: Fractional CFO</t>
        </is>
      </c>
      <c r="B70" s="47">
        <f>Assumptions!$H$202*Assumptions!$H$203*Assumptions!$H$167*B$8*B$18</f>
        <v/>
      </c>
      <c r="C70" s="47">
        <f>Assumptions!$H$202*Assumptions!$H$203*Assumptions!$H$167*C$8*C$18</f>
        <v/>
      </c>
      <c r="D70" s="47">
        <f>Assumptions!$H$202*Assumptions!$H$203*Assumptions!$H$167*D$8*D$18</f>
        <v/>
      </c>
      <c r="E70" s="47">
        <f>Assumptions!$H$202*Assumptions!$H$203*Assumptions!$H$167*E$8*E$18</f>
        <v/>
      </c>
      <c r="F70" s="47">
        <f>Assumptions!$H$202*Assumptions!$H$203*Assumptions!$H$167*F$8*F$18</f>
        <v/>
      </c>
      <c r="G70" s="47">
        <f>Assumptions!$H$202*Assumptions!$H$203*Assumptions!$H$167*G$8*G$18</f>
        <v/>
      </c>
      <c r="H70" s="47">
        <f>Assumptions!$H$202*Assumptions!$H$203*Assumptions!$H$167*H$8*H$18</f>
        <v/>
      </c>
      <c r="I70" s="47">
        <f>Assumptions!$H$202*Assumptions!$H$203*Assumptions!$H$167*I$8*I$18</f>
        <v/>
      </c>
      <c r="J70" s="47">
        <f>Assumptions!$H$202*Assumptions!$H$203*Assumptions!$H$167*J$8*J$18</f>
        <v/>
      </c>
      <c r="K70" s="47">
        <f>Assumptions!$H$202*Assumptions!$H$203*Assumptions!$H$167*K$8*K$18</f>
        <v/>
      </c>
      <c r="L70" s="67">
        <f>Assumptions!$H$202*Assumptions!$H$203*Assumptions!$H$167*L$8*L$18</f>
        <v/>
      </c>
      <c r="M70" s="47">
        <f>SUM(B70:K70)</f>
        <v/>
      </c>
    </row>
    <row r="71">
      <c r="A71" s="66" t="inlineStr">
        <is>
          <t>Staff: Head of programming</t>
        </is>
      </c>
      <c r="B71" s="47">
        <f>Assumptions!$H$204*Assumptions!$H$205*Assumptions!$H$167*B$8*B$18</f>
        <v/>
      </c>
      <c r="C71" s="47">
        <f>Assumptions!$H$204*Assumptions!$H$205*Assumptions!$H$167*C$8*C$18</f>
        <v/>
      </c>
      <c r="D71" s="47">
        <f>Assumptions!$H$204*Assumptions!$H$205*Assumptions!$H$167*D$8*D$18</f>
        <v/>
      </c>
      <c r="E71" s="47">
        <f>Assumptions!$H$204*Assumptions!$H$205*Assumptions!$H$167*E$8*E$18</f>
        <v/>
      </c>
      <c r="F71" s="47">
        <f>Assumptions!$H$204*Assumptions!$H$205*Assumptions!$H$167*F$8*F$18</f>
        <v/>
      </c>
      <c r="G71" s="47">
        <f>Assumptions!$H$204*Assumptions!$H$205*Assumptions!$H$167*G$8*G$18</f>
        <v/>
      </c>
      <c r="H71" s="47">
        <f>Assumptions!$H$204*Assumptions!$H$205*Assumptions!$H$167*H$8*H$18</f>
        <v/>
      </c>
      <c r="I71" s="47">
        <f>Assumptions!$H$204*Assumptions!$H$205*Assumptions!$H$167*I$8*I$18</f>
        <v/>
      </c>
      <c r="J71" s="47">
        <f>Assumptions!$H$204*Assumptions!$H$205*Assumptions!$H$167*J$8*J$18</f>
        <v/>
      </c>
      <c r="K71" s="47">
        <f>Assumptions!$H$204*Assumptions!$H$205*Assumptions!$H$167*K$8*K$18</f>
        <v/>
      </c>
      <c r="L71" s="67">
        <f>Assumptions!$H$204*Assumptions!$H$205*Assumptions!$H$167*L$8*L$18</f>
        <v/>
      </c>
      <c r="M71" s="47">
        <f>SUM(B71:K71)</f>
        <v/>
      </c>
    </row>
    <row r="72">
      <c r="A72" s="66" t="inlineStr">
        <is>
          <t>Staff: Head of operations</t>
        </is>
      </c>
      <c r="B72" s="47">
        <f>Assumptions!$H$206*Assumptions!$H$207*Assumptions!$H$167*B$8*B$18</f>
        <v/>
      </c>
      <c r="C72" s="47">
        <f>Assumptions!$H$206*Assumptions!$H$207*Assumptions!$H$167*C$8*C$18</f>
        <v/>
      </c>
      <c r="D72" s="47">
        <f>Assumptions!$H$206*Assumptions!$H$207*Assumptions!$H$167*D$8*D$18</f>
        <v/>
      </c>
      <c r="E72" s="47">
        <f>Assumptions!$H$206*Assumptions!$H$207*Assumptions!$H$167*E$8*E$18</f>
        <v/>
      </c>
      <c r="F72" s="47">
        <f>Assumptions!$H$206*Assumptions!$H$207*Assumptions!$H$167*F$8*F$18</f>
        <v/>
      </c>
      <c r="G72" s="47">
        <f>Assumptions!$H$206*Assumptions!$H$207*Assumptions!$H$167*G$8*G$18</f>
        <v/>
      </c>
      <c r="H72" s="47">
        <f>Assumptions!$H$206*Assumptions!$H$207*Assumptions!$H$167*H$8*H$18</f>
        <v/>
      </c>
      <c r="I72" s="47">
        <f>Assumptions!$H$206*Assumptions!$H$207*Assumptions!$H$167*I$8*I$18</f>
        <v/>
      </c>
      <c r="J72" s="47">
        <f>Assumptions!$H$206*Assumptions!$H$207*Assumptions!$H$167*J$8*J$18</f>
        <v/>
      </c>
      <c r="K72" s="47">
        <f>Assumptions!$H$206*Assumptions!$H$207*Assumptions!$H$167*K$8*K$18</f>
        <v/>
      </c>
      <c r="L72" s="67">
        <f>Assumptions!$H$206*Assumptions!$H$207*Assumptions!$H$167*L$8*L$18</f>
        <v/>
      </c>
      <c r="M72" s="47">
        <f>SUM(B72:K72)</f>
        <v/>
      </c>
    </row>
    <row r="73">
      <c r="A73" s="66" t="inlineStr">
        <is>
          <t>Staff: Head of marketing and partnerships</t>
        </is>
      </c>
      <c r="B73" s="47">
        <f>Assumptions!$H$208*Assumptions!$H$209*Assumptions!$H$167*B$8*B$18</f>
        <v/>
      </c>
      <c r="C73" s="47">
        <f>Assumptions!$H$208*Assumptions!$H$209*Assumptions!$H$167*C$8*C$18</f>
        <v/>
      </c>
      <c r="D73" s="47">
        <f>Assumptions!$H$208*Assumptions!$H$209*Assumptions!$H$167*D$8*D$18</f>
        <v/>
      </c>
      <c r="E73" s="47">
        <f>Assumptions!$H$208*Assumptions!$H$209*Assumptions!$H$167*E$8*E$18</f>
        <v/>
      </c>
      <c r="F73" s="47">
        <f>Assumptions!$H$208*Assumptions!$H$209*Assumptions!$H$167*F$8*F$18</f>
        <v/>
      </c>
      <c r="G73" s="47">
        <f>Assumptions!$H$208*Assumptions!$H$209*Assumptions!$H$167*G$8*G$18</f>
        <v/>
      </c>
      <c r="H73" s="47">
        <f>Assumptions!$H$208*Assumptions!$H$209*Assumptions!$H$167*H$8*H$18</f>
        <v/>
      </c>
      <c r="I73" s="47">
        <f>Assumptions!$H$208*Assumptions!$H$209*Assumptions!$H$167*I$8*I$18</f>
        <v/>
      </c>
      <c r="J73" s="47">
        <f>Assumptions!$H$208*Assumptions!$H$209*Assumptions!$H$167*J$8*J$18</f>
        <v/>
      </c>
      <c r="K73" s="47">
        <f>Assumptions!$H$208*Assumptions!$H$209*Assumptions!$H$167*K$8*K$18</f>
        <v/>
      </c>
      <c r="L73" s="67">
        <f>Assumptions!$H$208*Assumptions!$H$209*Assumptions!$H$167*L$8*L$18</f>
        <v/>
      </c>
      <c r="M73" s="47">
        <f>SUM(B73:K73)</f>
        <v/>
      </c>
    </row>
    <row r="74">
      <c r="A74" s="66" t="inlineStr">
        <is>
          <t>Staff: Gardener and groundskeeper</t>
        </is>
      </c>
      <c r="B74" s="47">
        <f>Assumptions!$H$210*Assumptions!$H$211*Assumptions!$H$167*B$8*B$18</f>
        <v/>
      </c>
      <c r="C74" s="47">
        <f>Assumptions!$H$210*Assumptions!$H$211*Assumptions!$H$167*C$8*C$18</f>
        <v/>
      </c>
      <c r="D74" s="47">
        <f>Assumptions!$H$210*Assumptions!$H$211*Assumptions!$H$167*D$8*D$18</f>
        <v/>
      </c>
      <c r="E74" s="47">
        <f>Assumptions!$H$210*Assumptions!$H$211*Assumptions!$H$167*E$8*E$18</f>
        <v/>
      </c>
      <c r="F74" s="47">
        <f>Assumptions!$H$210*Assumptions!$H$211*Assumptions!$H$167*F$8*F$18</f>
        <v/>
      </c>
      <c r="G74" s="47">
        <f>Assumptions!$H$210*Assumptions!$H$211*Assumptions!$H$167*G$8*G$18</f>
        <v/>
      </c>
      <c r="H74" s="47">
        <f>Assumptions!$H$210*Assumptions!$H$211*Assumptions!$H$167*H$8*H$18</f>
        <v/>
      </c>
      <c r="I74" s="47">
        <f>Assumptions!$H$210*Assumptions!$H$211*Assumptions!$H$167*I$8*I$18</f>
        <v/>
      </c>
      <c r="J74" s="47">
        <f>Assumptions!$H$210*Assumptions!$H$211*Assumptions!$H$167*J$8*J$18</f>
        <v/>
      </c>
      <c r="K74" s="47">
        <f>Assumptions!$H$210*Assumptions!$H$211*Assumptions!$H$167*K$8*K$18</f>
        <v/>
      </c>
      <c r="L74" s="67">
        <f>Assumptions!$H$210*Assumptions!$H$211*Assumptions!$H$167*L$8*L$18</f>
        <v/>
      </c>
      <c r="M74" s="47">
        <f>SUM(B74:K74)</f>
        <v/>
      </c>
    </row>
    <row r="75">
      <c r="A75" s="66" t="inlineStr">
        <is>
          <t>Staff: Cleaner</t>
        </is>
      </c>
      <c r="B75" s="47">
        <f>Assumptions!$H$212*Assumptions!$H$213*Assumptions!$H$167*B$8*B$18</f>
        <v/>
      </c>
      <c r="C75" s="47">
        <f>Assumptions!$H$212*Assumptions!$H$213*Assumptions!$H$167*C$8*C$18</f>
        <v/>
      </c>
      <c r="D75" s="47">
        <f>Assumptions!$H$212*Assumptions!$H$213*Assumptions!$H$167*D$8*D$18</f>
        <v/>
      </c>
      <c r="E75" s="47">
        <f>Assumptions!$H$212*Assumptions!$H$213*Assumptions!$H$167*E$8*E$18</f>
        <v/>
      </c>
      <c r="F75" s="47">
        <f>Assumptions!$H$212*Assumptions!$H$213*Assumptions!$H$167*F$8*F$18</f>
        <v/>
      </c>
      <c r="G75" s="47">
        <f>Assumptions!$H$212*Assumptions!$H$213*Assumptions!$H$167*G$8*G$18</f>
        <v/>
      </c>
      <c r="H75" s="47">
        <f>Assumptions!$H$212*Assumptions!$H$213*Assumptions!$H$167*H$8*H$18</f>
        <v/>
      </c>
      <c r="I75" s="47">
        <f>Assumptions!$H$212*Assumptions!$H$213*Assumptions!$H$167*I$8*I$18</f>
        <v/>
      </c>
      <c r="J75" s="47">
        <f>Assumptions!$H$212*Assumptions!$H$213*Assumptions!$H$167*J$8*J$18</f>
        <v/>
      </c>
      <c r="K75" s="47">
        <f>Assumptions!$H$212*Assumptions!$H$213*Assumptions!$H$167*K$8*K$18</f>
        <v/>
      </c>
      <c r="L75" s="67">
        <f>Assumptions!$H$212*Assumptions!$H$213*Assumptions!$H$167*L$8*L$18</f>
        <v/>
      </c>
      <c r="M75" s="47">
        <f>SUM(B75:K75)</f>
        <v/>
      </c>
    </row>
    <row r="76">
      <c r="A76" s="64" t="inlineStr">
        <is>
          <t>Staff (salaries, payroll taxes and benefits)</t>
        </is>
      </c>
      <c r="B76" s="20">
        <f>SUM(B68:B75)</f>
        <v/>
      </c>
      <c r="C76" s="20">
        <f>SUM(C68:C75)</f>
        <v/>
      </c>
      <c r="D76" s="20">
        <f>SUM(D68:D75)</f>
        <v/>
      </c>
      <c r="E76" s="20">
        <f>SUM(E68:E75)</f>
        <v/>
      </c>
      <c r="F76" s="20">
        <f>SUM(F68:F75)</f>
        <v/>
      </c>
      <c r="G76" s="20">
        <f>SUM(G68:G75)</f>
        <v/>
      </c>
      <c r="H76" s="20">
        <f>SUM(H68:H75)</f>
        <v/>
      </c>
      <c r="I76" s="20">
        <f>SUM(I68:I75)</f>
        <v/>
      </c>
      <c r="J76" s="20">
        <f>SUM(J68:J75)</f>
        <v/>
      </c>
      <c r="K76" s="20">
        <f>SUM(K68:K75)</f>
        <v/>
      </c>
      <c r="L76" s="65">
        <f>SUM(L68:L75)</f>
        <v/>
      </c>
      <c r="M76" s="20">
        <f>SUM(B76:K76)</f>
        <v/>
      </c>
    </row>
    <row r="77">
      <c r="A77" s="37" t="inlineStr">
        <is>
          <t>Contract services for programs and events (chefs and kitchen help, studio engineers, live sound, extra housekeeping)</t>
        </is>
      </c>
      <c r="B77" s="21">
        <f>Assumptions!$H$168*B$8*B$18</f>
        <v/>
      </c>
      <c r="C77" s="21">
        <f>Assumptions!$H$168*C$8*C$18</f>
        <v/>
      </c>
      <c r="D77" s="21">
        <f>Assumptions!$H$168*D$8*D$18</f>
        <v/>
      </c>
      <c r="E77" s="21">
        <f>Assumptions!$H$168*E$8*E$18</f>
        <v/>
      </c>
      <c r="F77" s="21">
        <f>Assumptions!$H$168*F$8*F$18</f>
        <v/>
      </c>
      <c r="G77" s="21">
        <f>Assumptions!$H$168*G$8*G$18</f>
        <v/>
      </c>
      <c r="H77" s="21">
        <f>Assumptions!$H$168*H$8*H$18</f>
        <v/>
      </c>
      <c r="I77" s="21">
        <f>Assumptions!$H$168*I$8*I$18</f>
        <v/>
      </c>
      <c r="J77" s="21">
        <f>Assumptions!$H$168*J$8*J$18</f>
        <v/>
      </c>
      <c r="K77" s="21">
        <f>Assumptions!$H$168*K$8*K$18</f>
        <v/>
      </c>
      <c r="L77" s="53">
        <f>Assumptions!$H$168*L$8*L$18</f>
        <v/>
      </c>
      <c r="M77" s="21">
        <f>SUM(B77:K77)</f>
        <v/>
      </c>
      <c r="N77" s="54" t="inlineStr">
        <is>
          <t>Chefs, kitchen help, studio engineers, live sound, extra housekeeping</t>
        </is>
      </c>
    </row>
    <row r="78">
      <c r="A78" s="37" t="inlineStr">
        <is>
          <t>Residency program (artist fees, travel, studio support, films, meals)</t>
        </is>
      </c>
      <c r="B78" s="21">
        <f>B$22*(Assumptions!$H$157+Assumptions!$H$158+Assumptions!$H$159+Assumptions!$H$160+Assumptions!$H$161)*B$18</f>
        <v/>
      </c>
      <c r="C78" s="21">
        <f>C$22*(Assumptions!$H$157+Assumptions!$H$158+Assumptions!$H$159+Assumptions!$H$160+Assumptions!$H$161)*C$18</f>
        <v/>
      </c>
      <c r="D78" s="21">
        <f>D$22*(Assumptions!$H$157+Assumptions!$H$158+Assumptions!$H$159+Assumptions!$H$160+Assumptions!$H$161)*D$18</f>
        <v/>
      </c>
      <c r="E78" s="21">
        <f>E$22*(Assumptions!$H$157+Assumptions!$H$158+Assumptions!$H$159+Assumptions!$H$160+Assumptions!$H$161)*E$18</f>
        <v/>
      </c>
      <c r="F78" s="21">
        <f>F$22*(Assumptions!$H$157+Assumptions!$H$158+Assumptions!$H$159+Assumptions!$H$160+Assumptions!$H$161)*F$18</f>
        <v/>
      </c>
      <c r="G78" s="21">
        <f>G$22*(Assumptions!$H$157+Assumptions!$H$158+Assumptions!$H$159+Assumptions!$H$160+Assumptions!$H$161)*G$18</f>
        <v/>
      </c>
      <c r="H78" s="21">
        <f>H$22*(Assumptions!$H$157+Assumptions!$H$158+Assumptions!$H$159+Assumptions!$H$160+Assumptions!$H$161)*H$18</f>
        <v/>
      </c>
      <c r="I78" s="21">
        <f>I$22*(Assumptions!$H$157+Assumptions!$H$158+Assumptions!$H$159+Assumptions!$H$160+Assumptions!$H$161)*I$18</f>
        <v/>
      </c>
      <c r="J78" s="21">
        <f>J$22*(Assumptions!$H$157+Assumptions!$H$158+Assumptions!$H$159+Assumptions!$H$160+Assumptions!$H$161)*J$18</f>
        <v/>
      </c>
      <c r="K78" s="21">
        <f>K$22*(Assumptions!$H$157+Assumptions!$H$158+Assumptions!$H$159+Assumptions!$H$160+Assumptions!$H$161)*K$18</f>
        <v/>
      </c>
      <c r="L78" s="53">
        <f>L$22*(Assumptions!$H$157+Assumptions!$H$158+Assumptions!$H$159+Assumptions!$H$160+Assumptions!$H$161)*L$18</f>
        <v/>
      </c>
      <c r="M78" s="21">
        <f>SUM(B78:K78)</f>
        <v/>
      </c>
    </row>
    <row r="79">
      <c r="A79" s="37" t="inlineStr">
        <is>
          <t>Performance production</t>
        </is>
      </c>
      <c r="B79" s="21">
        <f>B$30*Assumptions!$H$162*B$18</f>
        <v/>
      </c>
      <c r="C79" s="21">
        <f>C$30*Assumptions!$H$162*C$18</f>
        <v/>
      </c>
      <c r="D79" s="21">
        <f>D$30*Assumptions!$H$162*D$18</f>
        <v/>
      </c>
      <c r="E79" s="21">
        <f>E$30*Assumptions!$H$162*E$18</f>
        <v/>
      </c>
      <c r="F79" s="21">
        <f>F$30*Assumptions!$H$162*F$18</f>
        <v/>
      </c>
      <c r="G79" s="21">
        <f>G$30*Assumptions!$H$162*G$18</f>
        <v/>
      </c>
      <c r="H79" s="21">
        <f>H$30*Assumptions!$H$162*H$18</f>
        <v/>
      </c>
      <c r="I79" s="21">
        <f>I$30*Assumptions!$H$162*I$18</f>
        <v/>
      </c>
      <c r="J79" s="21">
        <f>J$30*Assumptions!$H$162*J$18</f>
        <v/>
      </c>
      <c r="K79" s="21">
        <f>K$30*Assumptions!$H$162*K$18</f>
        <v/>
      </c>
      <c r="L79" s="53">
        <f>L$30*Assumptions!$H$162*L$18</f>
        <v/>
      </c>
      <c r="M79" s="21">
        <f>SUM(B79:K79)</f>
        <v/>
      </c>
    </row>
    <row r="80">
      <c r="A80" s="37" t="inlineStr">
        <is>
          <t>Program fixed (content, honoraria, showcases, access fund)</t>
        </is>
      </c>
      <c r="B80" s="21">
        <f>Assumptions!$H$163*B$8*B$18</f>
        <v/>
      </c>
      <c r="C80" s="21">
        <f>Assumptions!$H$163*C$8*C$18</f>
        <v/>
      </c>
      <c r="D80" s="21">
        <f>Assumptions!$H$163*D$8*D$18</f>
        <v/>
      </c>
      <c r="E80" s="21">
        <f>Assumptions!$H$163*E$8*E$18</f>
        <v/>
      </c>
      <c r="F80" s="21">
        <f>Assumptions!$H$163*F$8*F$18</f>
        <v/>
      </c>
      <c r="G80" s="21">
        <f>Assumptions!$H$163*G$8*G$18</f>
        <v/>
      </c>
      <c r="H80" s="21">
        <f>Assumptions!$H$163*H$8*H$18</f>
        <v/>
      </c>
      <c r="I80" s="21">
        <f>Assumptions!$H$163*I$8*I$18</f>
        <v/>
      </c>
      <c r="J80" s="21">
        <f>Assumptions!$H$163*J$8*J$18</f>
        <v/>
      </c>
      <c r="K80" s="21">
        <f>Assumptions!$H$163*K$8*K$18</f>
        <v/>
      </c>
      <c r="L80" s="53">
        <f>Assumptions!$H$163*L$8*L$18</f>
        <v/>
      </c>
      <c r="M80" s="21">
        <f>SUM(B80:K80)</f>
        <v/>
      </c>
    </row>
    <row r="81">
      <c r="A81" s="37" t="inlineStr">
        <is>
          <t>Retreat facilitators and program costs (share of the all-in price)</t>
        </is>
      </c>
      <c r="B81" s="21">
        <f>B$48*Assumptions!$H$169</f>
        <v/>
      </c>
      <c r="C81" s="21">
        <f>C$48*Assumptions!$H$169</f>
        <v/>
      </c>
      <c r="D81" s="21">
        <f>D$48*Assumptions!$H$169</f>
        <v/>
      </c>
      <c r="E81" s="21">
        <f>E$48*Assumptions!$H$169</f>
        <v/>
      </c>
      <c r="F81" s="21">
        <f>F$48*Assumptions!$H$169</f>
        <v/>
      </c>
      <c r="G81" s="21">
        <f>G$48*Assumptions!$H$169</f>
        <v/>
      </c>
      <c r="H81" s="21">
        <f>H$48*Assumptions!$H$169</f>
        <v/>
      </c>
      <c r="I81" s="21">
        <f>I$48*Assumptions!$H$169</f>
        <v/>
      </c>
      <c r="J81" s="21">
        <f>J$48*Assumptions!$H$169</f>
        <v/>
      </c>
      <c r="K81" s="21">
        <f>K$48*Assumptions!$H$169</f>
        <v/>
      </c>
      <c r="L81" s="53">
        <f>L$48*Assumptions!$H$169</f>
        <v/>
      </c>
      <c r="M81" s="21">
        <f>SUM(B81:K81)</f>
        <v/>
      </c>
    </row>
    <row r="82">
      <c r="A82" s="37" t="inlineStr">
        <is>
          <t>Retreat food (inside the all-in price)</t>
        </is>
      </c>
      <c r="B82" s="21">
        <f>B$26*Assumptions!$H$102*Assumptions!$H$173*B$18</f>
        <v/>
      </c>
      <c r="C82" s="21">
        <f>C$26*Assumptions!$H$102*Assumptions!$H$173*C$18</f>
        <v/>
      </c>
      <c r="D82" s="21">
        <f>D$26*Assumptions!$H$102*Assumptions!$H$173*D$18</f>
        <v/>
      </c>
      <c r="E82" s="21">
        <f>E$26*Assumptions!$H$102*Assumptions!$H$173*E$18</f>
        <v/>
      </c>
      <c r="F82" s="21">
        <f>F$26*Assumptions!$H$102*Assumptions!$H$173*F$18</f>
        <v/>
      </c>
      <c r="G82" s="21">
        <f>G$26*Assumptions!$H$102*Assumptions!$H$173*G$18</f>
        <v/>
      </c>
      <c r="H82" s="21">
        <f>H$26*Assumptions!$H$102*Assumptions!$H$173*H$18</f>
        <v/>
      </c>
      <c r="I82" s="21">
        <f>I$26*Assumptions!$H$102*Assumptions!$H$173*I$18</f>
        <v/>
      </c>
      <c r="J82" s="21">
        <f>J$26*Assumptions!$H$102*Assumptions!$H$173*J$18</f>
        <v/>
      </c>
      <c r="K82" s="21">
        <f>K$26*Assumptions!$H$102*Assumptions!$H$173*K$18</f>
        <v/>
      </c>
      <c r="L82" s="53">
        <f>L$26*Assumptions!$H$102*Assumptions!$H$173*L$18</f>
        <v/>
      </c>
      <c r="M82" s="21">
        <f>SUM(B82:K82)</f>
        <v/>
      </c>
      <c r="N82" s="54" t="inlineStr">
        <is>
          <t>Retreat guest-nights x F&amp;B per guest x cost of sales</t>
        </is>
      </c>
    </row>
    <row r="83">
      <c r="A83" s="37" t="inlineStr">
        <is>
          <t>Program weekend facilitators and direct costs</t>
        </is>
      </c>
      <c r="B83" s="21">
        <f>B$49*Assumptions!$H$170</f>
        <v/>
      </c>
      <c r="C83" s="21">
        <f>C$49*Assumptions!$H$170</f>
        <v/>
      </c>
      <c r="D83" s="21">
        <f>D$49*Assumptions!$H$170</f>
        <v/>
      </c>
      <c r="E83" s="21">
        <f>E$49*Assumptions!$H$170</f>
        <v/>
      </c>
      <c r="F83" s="21">
        <f>F$49*Assumptions!$H$170</f>
        <v/>
      </c>
      <c r="G83" s="21">
        <f>G$49*Assumptions!$H$170</f>
        <v/>
      </c>
      <c r="H83" s="21">
        <f>H$49*Assumptions!$H$170</f>
        <v/>
      </c>
      <c r="I83" s="21">
        <f>I$49*Assumptions!$H$170</f>
        <v/>
      </c>
      <c r="J83" s="21">
        <f>J$49*Assumptions!$H$170</f>
        <v/>
      </c>
      <c r="K83" s="21">
        <f>K$49*Assumptions!$H$170</f>
        <v/>
      </c>
      <c r="L83" s="53">
        <f>L$49*Assumptions!$H$170</f>
        <v/>
      </c>
      <c r="M83" s="21">
        <f>SUM(B83:K83)</f>
        <v/>
      </c>
    </row>
    <row r="84">
      <c r="A84" s="37" t="inlineStr">
        <is>
          <t>Takeover event costs (crew, security, shuttles)</t>
        </is>
      </c>
      <c r="B84" s="21">
        <f>B$50*Assumptions!$H$171</f>
        <v/>
      </c>
      <c r="C84" s="21">
        <f>C$50*Assumptions!$H$171</f>
        <v/>
      </c>
      <c r="D84" s="21">
        <f>D$50*Assumptions!$H$171</f>
        <v/>
      </c>
      <c r="E84" s="21">
        <f>E$50*Assumptions!$H$171</f>
        <v/>
      </c>
      <c r="F84" s="21">
        <f>F$50*Assumptions!$H$171</f>
        <v/>
      </c>
      <c r="G84" s="21">
        <f>G$50*Assumptions!$H$171</f>
        <v/>
      </c>
      <c r="H84" s="21">
        <f>H$50*Assumptions!$H$171</f>
        <v/>
      </c>
      <c r="I84" s="21">
        <f>I$50*Assumptions!$H$171</f>
        <v/>
      </c>
      <c r="J84" s="21">
        <f>J$50*Assumptions!$H$171</f>
        <v/>
      </c>
      <c r="K84" s="21">
        <f>K$50*Assumptions!$H$171</f>
        <v/>
      </c>
      <c r="L84" s="53">
        <f>L$50*Assumptions!$H$171</f>
        <v/>
      </c>
      <c r="M84" s="21">
        <f>SUM(B84:K84)</f>
        <v/>
      </c>
    </row>
    <row r="85">
      <c r="A85" s="37" t="inlineStr">
        <is>
          <t>Workshop teachers and materials</t>
        </is>
      </c>
      <c r="B85" s="21">
        <f>B$54*Assumptions!$H$172</f>
        <v/>
      </c>
      <c r="C85" s="21">
        <f>C$54*Assumptions!$H$172</f>
        <v/>
      </c>
      <c r="D85" s="21">
        <f>D$54*Assumptions!$H$172</f>
        <v/>
      </c>
      <c r="E85" s="21">
        <f>E$54*Assumptions!$H$172</f>
        <v/>
      </c>
      <c r="F85" s="21">
        <f>F$54*Assumptions!$H$172</f>
        <v/>
      </c>
      <c r="G85" s="21">
        <f>G$54*Assumptions!$H$172</f>
        <v/>
      </c>
      <c r="H85" s="21">
        <f>H$54*Assumptions!$H$172</f>
        <v/>
      </c>
      <c r="I85" s="21">
        <f>I$54*Assumptions!$H$172</f>
        <v/>
      </c>
      <c r="J85" s="21">
        <f>J$54*Assumptions!$H$172</f>
        <v/>
      </c>
      <c r="K85" s="21">
        <f>K$54*Assumptions!$H$172</f>
        <v/>
      </c>
      <c r="L85" s="53">
        <f>L$54*Assumptions!$H$172</f>
        <v/>
      </c>
      <c r="M85" s="21">
        <f>SUM(B85:K85)</f>
        <v/>
      </c>
    </row>
    <row r="86">
      <c r="A86" s="37" t="inlineStr">
        <is>
          <t>Food and beverage cost of sales</t>
        </is>
      </c>
      <c r="B86" s="21">
        <f>B$47*Assumptions!$H$173</f>
        <v/>
      </c>
      <c r="C86" s="21">
        <f>C$47*Assumptions!$H$173</f>
        <v/>
      </c>
      <c r="D86" s="21">
        <f>D$47*Assumptions!$H$173</f>
        <v/>
      </c>
      <c r="E86" s="21">
        <f>E$47*Assumptions!$H$173</f>
        <v/>
      </c>
      <c r="F86" s="21">
        <f>F$47*Assumptions!$H$173</f>
        <v/>
      </c>
      <c r="G86" s="21">
        <f>G$47*Assumptions!$H$173</f>
        <v/>
      </c>
      <c r="H86" s="21">
        <f>H$47*Assumptions!$H$173</f>
        <v/>
      </c>
      <c r="I86" s="21">
        <f>I$47*Assumptions!$H$173</f>
        <v/>
      </c>
      <c r="J86" s="21">
        <f>J$47*Assumptions!$H$173</f>
        <v/>
      </c>
      <c r="K86" s="21">
        <f>K$47*Assumptions!$H$173</f>
        <v/>
      </c>
      <c r="L86" s="53">
        <f>L$47*Assumptions!$H$173</f>
        <v/>
      </c>
      <c r="M86" s="21">
        <f>SUM(B86:K86)</f>
        <v/>
      </c>
    </row>
    <row r="87">
      <c r="A87" s="37" t="inlineStr">
        <is>
          <t>Cabin supplies, linens and laundry</t>
        </is>
      </c>
      <c r="B87" s="21">
        <f>B$39*Assumptions!$H$174*B$18</f>
        <v/>
      </c>
      <c r="C87" s="21">
        <f>C$39*Assumptions!$H$174*C$18</f>
        <v/>
      </c>
      <c r="D87" s="21">
        <f>D$39*Assumptions!$H$174*D$18</f>
        <v/>
      </c>
      <c r="E87" s="21">
        <f>E$39*Assumptions!$H$174*E$18</f>
        <v/>
      </c>
      <c r="F87" s="21">
        <f>F$39*Assumptions!$H$174*F$18</f>
        <v/>
      </c>
      <c r="G87" s="21">
        <f>G$39*Assumptions!$H$174*G$18</f>
        <v/>
      </c>
      <c r="H87" s="21">
        <f>H$39*Assumptions!$H$174*H$18</f>
        <v/>
      </c>
      <c r="I87" s="21">
        <f>I$39*Assumptions!$H$174*I$18</f>
        <v/>
      </c>
      <c r="J87" s="21">
        <f>J$39*Assumptions!$H$174*J$18</f>
        <v/>
      </c>
      <c r="K87" s="21">
        <f>K$39*Assumptions!$H$174*K$18</f>
        <v/>
      </c>
      <c r="L87" s="53">
        <f>L$39*Assumptions!$H$174*L$18</f>
        <v/>
      </c>
      <c r="M87" s="21">
        <f>SUM(B87:K87)</f>
        <v/>
      </c>
    </row>
    <row r="88">
      <c r="A88" s="37" t="inlineStr">
        <is>
          <t>Gallery program and conservation</t>
        </is>
      </c>
      <c r="B88" s="21">
        <f>Assumptions!$H$164*B$10*B$18</f>
        <v/>
      </c>
      <c r="C88" s="21">
        <f>Assumptions!$H$164*C$10*C$18</f>
        <v/>
      </c>
      <c r="D88" s="21">
        <f>Assumptions!$H$164*D$10*D$18</f>
        <v/>
      </c>
      <c r="E88" s="21">
        <f>Assumptions!$H$164*E$10*E$18</f>
        <v/>
      </c>
      <c r="F88" s="21">
        <f>Assumptions!$H$164*F$10*F$18</f>
        <v/>
      </c>
      <c r="G88" s="21">
        <f>Assumptions!$H$164*G$10*G$18</f>
        <v/>
      </c>
      <c r="H88" s="21">
        <f>Assumptions!$H$164*H$10*H$18</f>
        <v/>
      </c>
      <c r="I88" s="21">
        <f>Assumptions!$H$164*I$10*I$18</f>
        <v/>
      </c>
      <c r="J88" s="21">
        <f>Assumptions!$H$164*J$10*J$18</f>
        <v/>
      </c>
      <c r="K88" s="21">
        <f>Assumptions!$H$164*K$10*K$18</f>
        <v/>
      </c>
      <c r="L88" s="53">
        <f>Assumptions!$H$164*L$10*L$18</f>
        <v/>
      </c>
      <c r="M88" s="21">
        <f>SUM(B88:K88)</f>
        <v/>
      </c>
    </row>
    <row r="89">
      <c r="A89" s="37" t="inlineStr">
        <is>
          <t>Utilities</t>
        </is>
      </c>
      <c r="B89" s="21">
        <f>(Assumptions!$H$175*B$8+Assumptions!$H$176*B$9+Assumptions!$H$177*B$10)*B$18</f>
        <v/>
      </c>
      <c r="C89" s="21">
        <f>(Assumptions!$H$175*C$8+Assumptions!$H$176*C$9+Assumptions!$H$177*C$10)*C$18</f>
        <v/>
      </c>
      <c r="D89" s="21">
        <f>(Assumptions!$H$175*D$8+Assumptions!$H$176*D$9+Assumptions!$H$177*D$10)*D$18</f>
        <v/>
      </c>
      <c r="E89" s="21">
        <f>(Assumptions!$H$175*E$8+Assumptions!$H$176*E$9+Assumptions!$H$177*E$10)*E$18</f>
        <v/>
      </c>
      <c r="F89" s="21">
        <f>(Assumptions!$H$175*F$8+Assumptions!$H$176*F$9+Assumptions!$H$177*F$10)*F$18</f>
        <v/>
      </c>
      <c r="G89" s="21">
        <f>(Assumptions!$H$175*G$8+Assumptions!$H$176*G$9+Assumptions!$H$177*G$10)*G$18</f>
        <v/>
      </c>
      <c r="H89" s="21">
        <f>(Assumptions!$H$175*H$8+Assumptions!$H$176*H$9+Assumptions!$H$177*H$10)*H$18</f>
        <v/>
      </c>
      <c r="I89" s="21">
        <f>(Assumptions!$H$175*I$8+Assumptions!$H$176*I$9+Assumptions!$H$177*I$10)*I$18</f>
        <v/>
      </c>
      <c r="J89" s="21">
        <f>(Assumptions!$H$175*J$8+Assumptions!$H$176*J$9+Assumptions!$H$177*J$10)*J$18</f>
        <v/>
      </c>
      <c r="K89" s="21">
        <f>(Assumptions!$H$175*K$8+Assumptions!$H$176*K$9+Assumptions!$H$177*K$10)*K$18</f>
        <v/>
      </c>
      <c r="L89" s="53">
        <f>(Assumptions!$H$175*L$8+Assumptions!$H$176*L$9+Assumptions!$H$177*L$10)*L$18</f>
        <v/>
      </c>
      <c r="M89" s="21">
        <f>SUM(B89:K89)</f>
        <v/>
      </c>
    </row>
    <row r="90">
      <c r="A90" s="37" t="inlineStr">
        <is>
          <t>Repairs and maintenance</t>
        </is>
      </c>
      <c r="B90" s="21">
        <f>Assumptions!$H$178*B$43*B$18</f>
        <v/>
      </c>
      <c r="C90" s="21">
        <f>Assumptions!$H$178*C$43*C$18</f>
        <v/>
      </c>
      <c r="D90" s="21">
        <f>Assumptions!$H$178*D$43*D$18</f>
        <v/>
      </c>
      <c r="E90" s="21">
        <f>Assumptions!$H$178*E$43*E$18</f>
        <v/>
      </c>
      <c r="F90" s="21">
        <f>Assumptions!$H$178*F$43*F$18</f>
        <v/>
      </c>
      <c r="G90" s="21">
        <f>Assumptions!$H$178*G$43*G$18</f>
        <v/>
      </c>
      <c r="H90" s="21">
        <f>Assumptions!$H$178*H$43*H$18</f>
        <v/>
      </c>
      <c r="I90" s="21">
        <f>Assumptions!$H$178*I$43*I$18</f>
        <v/>
      </c>
      <c r="J90" s="21">
        <f>Assumptions!$H$178*J$43*J$18</f>
        <v/>
      </c>
      <c r="K90" s="21">
        <f>Assumptions!$H$178*K$43*K$18</f>
        <v/>
      </c>
      <c r="L90" s="53">
        <f>Assumptions!$H$178*L$43*L$18</f>
        <v/>
      </c>
      <c r="M90" s="21">
        <f>SUM(B90:K90)</f>
        <v/>
      </c>
    </row>
    <row r="91">
      <c r="A91" s="37" t="inlineStr">
        <is>
          <t>Property and wildfire insurance (very high fire hazard zone)</t>
        </is>
      </c>
      <c r="B91" s="21">
        <f>Assumptions!$H$179*B$43*B$18</f>
        <v/>
      </c>
      <c r="C91" s="21">
        <f>Assumptions!$H$179*C$43*C$18</f>
        <v/>
      </c>
      <c r="D91" s="21">
        <f>Assumptions!$H$179*D$43*D$18</f>
        <v/>
      </c>
      <c r="E91" s="21">
        <f>Assumptions!$H$179*E$43*E$18</f>
        <v/>
      </c>
      <c r="F91" s="21">
        <f>Assumptions!$H$179*F$43*F$18</f>
        <v/>
      </c>
      <c r="G91" s="21">
        <f>Assumptions!$H$179*G$43*G$18</f>
        <v/>
      </c>
      <c r="H91" s="21">
        <f>Assumptions!$H$179*H$43*H$18</f>
        <v/>
      </c>
      <c r="I91" s="21">
        <f>Assumptions!$H$179*I$43*I$18</f>
        <v/>
      </c>
      <c r="J91" s="21">
        <f>Assumptions!$H$179*J$43*J$18</f>
        <v/>
      </c>
      <c r="K91" s="21">
        <f>Assumptions!$H$179*K$43*K$18</f>
        <v/>
      </c>
      <c r="L91" s="53">
        <f>Assumptions!$H$179*L$43*L$18</f>
        <v/>
      </c>
      <c r="M91" s="21">
        <f>SUM(B91:K91)</f>
        <v/>
      </c>
      <c r="N91" s="54" t="inlineStr">
        <is>
          <t>Very high fire hazard zone; broker quote needed</t>
        </is>
      </c>
    </row>
    <row r="92">
      <c r="A92" s="37" t="inlineStr">
        <is>
          <t>Liability, liquor, events, D&amp;O (and land before opening)</t>
        </is>
      </c>
      <c r="B92" s="21">
        <f>(Assumptions!$H$180*B$8+Assumptions!$H$181*B$11*B$13)*B$18</f>
        <v/>
      </c>
      <c r="C92" s="21">
        <f>(Assumptions!$H$180*C$8+Assumptions!$H$181*C$11*C$13)*C$18</f>
        <v/>
      </c>
      <c r="D92" s="21">
        <f>(Assumptions!$H$180*D$8+Assumptions!$H$181*D$11*D$13)*D$18</f>
        <v/>
      </c>
      <c r="E92" s="21">
        <f>(Assumptions!$H$180*E$8+Assumptions!$H$181*E$11*E$13)*E$18</f>
        <v/>
      </c>
      <c r="F92" s="21">
        <f>(Assumptions!$H$180*F$8+Assumptions!$H$181*F$11*F$13)*F$18</f>
        <v/>
      </c>
      <c r="G92" s="21">
        <f>(Assumptions!$H$180*G$8+Assumptions!$H$181*G$11*G$13)*G$18</f>
        <v/>
      </c>
      <c r="H92" s="21">
        <f>(Assumptions!$H$180*H$8+Assumptions!$H$181*H$11*H$13)*H$18</f>
        <v/>
      </c>
      <c r="I92" s="21">
        <f>(Assumptions!$H$180*I$8+Assumptions!$H$181*I$11*I$13)*I$18</f>
        <v/>
      </c>
      <c r="J92" s="21">
        <f>(Assumptions!$H$180*J$8+Assumptions!$H$181*J$11*J$13)*J$18</f>
        <v/>
      </c>
      <c r="K92" s="21">
        <f>(Assumptions!$H$180*K$8+Assumptions!$H$181*K$11*K$13)*K$18</f>
        <v/>
      </c>
      <c r="L92" s="53">
        <f>(Assumptions!$H$180*L$8+Assumptions!$H$181*L$11*L$13)*L$18</f>
        <v/>
      </c>
      <c r="M92" s="21">
        <f>SUM(B92:K92)</f>
        <v/>
      </c>
    </row>
    <row r="93">
      <c r="A93" s="37" t="inlineStr">
        <is>
          <t>Property tax (incl. fixed charges)</t>
        </is>
      </c>
      <c r="B93" s="21">
        <f>Assumptions!$H$182*B$44*(1-Assumptions!$H$184)+Assumptions!$H$183*B$13</f>
        <v/>
      </c>
      <c r="C93" s="21">
        <f>Assumptions!$H$182*C$44*(1-Assumptions!$H$184)+Assumptions!$H$183*C$13</f>
        <v/>
      </c>
      <c r="D93" s="21">
        <f>Assumptions!$H$182*D$44*(1-Assumptions!$H$184)+Assumptions!$H$183*D$13</f>
        <v/>
      </c>
      <c r="E93" s="21">
        <f>Assumptions!$H$182*E$44*(1-Assumptions!$H$184)+Assumptions!$H$183*E$13</f>
        <v/>
      </c>
      <c r="F93" s="21">
        <f>Assumptions!$H$182*F$44*(1-Assumptions!$H$184)+Assumptions!$H$183*F$13</f>
        <v/>
      </c>
      <c r="G93" s="21">
        <f>Assumptions!$H$182*G$44*(1-Assumptions!$H$184)+Assumptions!$H$183*G$13</f>
        <v/>
      </c>
      <c r="H93" s="21">
        <f>Assumptions!$H$182*H$44*(1-Assumptions!$H$184)+Assumptions!$H$183*H$13</f>
        <v/>
      </c>
      <c r="I93" s="21">
        <f>Assumptions!$H$182*I$44*(1-Assumptions!$H$184)+Assumptions!$H$183*I$13</f>
        <v/>
      </c>
      <c r="J93" s="21">
        <f>Assumptions!$H$182*J$44*(1-Assumptions!$H$184)+Assumptions!$H$183*J$13</f>
        <v/>
      </c>
      <c r="K93" s="21">
        <f>Assumptions!$H$182*K$44*(1-Assumptions!$H$184)+Assumptions!$H$183*K$13</f>
        <v/>
      </c>
      <c r="L93" s="53">
        <f>Assumptions!$H$182*L$44*(1-Assumptions!$H$184)+Assumptions!$H$183*L$13</f>
        <v/>
      </c>
      <c r="M93" s="21">
        <f>SUM(B93:K93)</f>
        <v/>
      </c>
      <c r="N93" s="54" t="inlineStr">
        <is>
          <t>Taxable under the draft hybrid; welfare exemption is a lever</t>
        </is>
      </c>
    </row>
    <row r="94">
      <c r="A94" s="37" t="inlineStr">
        <is>
          <t>Marketing and sales</t>
        </is>
      </c>
      <c r="B94" s="21">
        <f>Assumptions!$H$185*B$8*B$18</f>
        <v/>
      </c>
      <c r="C94" s="21">
        <f>Assumptions!$H$185*C$8*C$18</f>
        <v/>
      </c>
      <c r="D94" s="21">
        <f>Assumptions!$H$185*D$8*D$18</f>
        <v/>
      </c>
      <c r="E94" s="21">
        <f>Assumptions!$H$185*E$8*E$18</f>
        <v/>
      </c>
      <c r="F94" s="21">
        <f>Assumptions!$H$185*F$8*F$18</f>
        <v/>
      </c>
      <c r="G94" s="21">
        <f>Assumptions!$H$185*G$8*G$18</f>
        <v/>
      </c>
      <c r="H94" s="21">
        <f>Assumptions!$H$185*H$8*H$18</f>
        <v/>
      </c>
      <c r="I94" s="21">
        <f>Assumptions!$H$185*I$8*I$18</f>
        <v/>
      </c>
      <c r="J94" s="21">
        <f>Assumptions!$H$185*J$8*J$18</f>
        <v/>
      </c>
      <c r="K94" s="21">
        <f>Assumptions!$H$185*K$8*K$18</f>
        <v/>
      </c>
      <c r="L94" s="53">
        <f>Assumptions!$H$185*L$8*L$18</f>
        <v/>
      </c>
      <c r="M94" s="21">
        <f>SUM(B94:K94)</f>
        <v/>
      </c>
    </row>
    <row r="95">
      <c r="A95" s="37" t="inlineStr">
        <is>
          <t>General and administrative (legal, audit, IT, office)</t>
        </is>
      </c>
      <c r="B95" s="21">
        <f>Assumptions!$H$186*B$8*B$18</f>
        <v/>
      </c>
      <c r="C95" s="21">
        <f>Assumptions!$H$186*C$8*C$18</f>
        <v/>
      </c>
      <c r="D95" s="21">
        <f>Assumptions!$H$186*D$8*D$18</f>
        <v/>
      </c>
      <c r="E95" s="21">
        <f>Assumptions!$H$186*E$8*E$18</f>
        <v/>
      </c>
      <c r="F95" s="21">
        <f>Assumptions!$H$186*F$8*F$18</f>
        <v/>
      </c>
      <c r="G95" s="21">
        <f>Assumptions!$H$186*G$8*G$18</f>
        <v/>
      </c>
      <c r="H95" s="21">
        <f>Assumptions!$H$186*H$8*H$18</f>
        <v/>
      </c>
      <c r="I95" s="21">
        <f>Assumptions!$H$186*I$8*I$18</f>
        <v/>
      </c>
      <c r="J95" s="21">
        <f>Assumptions!$H$186*J$8*J$18</f>
        <v/>
      </c>
      <c r="K95" s="21">
        <f>Assumptions!$H$186*K$8*K$18</f>
        <v/>
      </c>
      <c r="L95" s="53">
        <f>Assumptions!$H$186*L$8*L$18</f>
        <v/>
      </c>
      <c r="M95" s="21">
        <f>SUM(B95:K95)</f>
        <v/>
      </c>
    </row>
    <row r="96">
      <c r="A96" s="37" t="inlineStr">
        <is>
          <t>Payment and booking fees</t>
        </is>
      </c>
      <c r="B96" s="21">
        <f>B$58*Assumptions!$H$187</f>
        <v/>
      </c>
      <c r="C96" s="21">
        <f>C$58*Assumptions!$H$187</f>
        <v/>
      </c>
      <c r="D96" s="21">
        <f>D$58*Assumptions!$H$187</f>
        <v/>
      </c>
      <c r="E96" s="21">
        <f>E$58*Assumptions!$H$187</f>
        <v/>
      </c>
      <c r="F96" s="21">
        <f>F$58*Assumptions!$H$187</f>
        <v/>
      </c>
      <c r="G96" s="21">
        <f>G$58*Assumptions!$H$187</f>
        <v/>
      </c>
      <c r="H96" s="21">
        <f>H$58*Assumptions!$H$187</f>
        <v/>
      </c>
      <c r="I96" s="21">
        <f>I$58*Assumptions!$H$187</f>
        <v/>
      </c>
      <c r="J96" s="21">
        <f>J$58*Assumptions!$H$187</f>
        <v/>
      </c>
      <c r="K96" s="21">
        <f>K$58*Assumptions!$H$187</f>
        <v/>
      </c>
      <c r="L96" s="53">
        <f>L$58*Assumptions!$H$187</f>
        <v/>
      </c>
      <c r="M96" s="21">
        <f>SUM(B96:K96)</f>
        <v/>
      </c>
    </row>
    <row r="97">
      <c r="A97" s="37" t="inlineStr">
        <is>
          <t>Replacement reserve (cabins, gear)</t>
        </is>
      </c>
      <c r="B97" s="21">
        <f>B$58*Assumptions!$H$188</f>
        <v/>
      </c>
      <c r="C97" s="21">
        <f>C$58*Assumptions!$H$188</f>
        <v/>
      </c>
      <c r="D97" s="21">
        <f>D$58*Assumptions!$H$188</f>
        <v/>
      </c>
      <c r="E97" s="21">
        <f>E$58*Assumptions!$H$188</f>
        <v/>
      </c>
      <c r="F97" s="21">
        <f>F$58*Assumptions!$H$188</f>
        <v/>
      </c>
      <c r="G97" s="21">
        <f>G$58*Assumptions!$H$188</f>
        <v/>
      </c>
      <c r="H97" s="21">
        <f>H$58*Assumptions!$H$188</f>
        <v/>
      </c>
      <c r="I97" s="21">
        <f>I$58*Assumptions!$H$188</f>
        <v/>
      </c>
      <c r="J97" s="21">
        <f>J$58*Assumptions!$H$188</f>
        <v/>
      </c>
      <c r="K97" s="21">
        <f>K$58*Assumptions!$H$188</f>
        <v/>
      </c>
      <c r="L97" s="53">
        <f>L$58*Assumptions!$H$188</f>
        <v/>
      </c>
      <c r="M97" s="21">
        <f>SUM(B97:K97)</f>
        <v/>
      </c>
    </row>
    <row r="98">
      <c r="A98" s="37" t="inlineStr">
        <is>
          <t>Stage 0 pilot program (pilot residencies, pop-ups)</t>
        </is>
      </c>
      <c r="B98" s="21">
        <f>Assumptions!$H$165*B$11*B$18</f>
        <v/>
      </c>
      <c r="C98" s="21">
        <f>Assumptions!$H$165*C$11*C$18</f>
        <v/>
      </c>
      <c r="D98" s="21">
        <f>Assumptions!$H$165*D$11*D$18</f>
        <v/>
      </c>
      <c r="E98" s="21">
        <f>Assumptions!$H$165*E$11*E$18</f>
        <v/>
      </c>
      <c r="F98" s="21">
        <f>Assumptions!$H$165*F$11*F$18</f>
        <v/>
      </c>
      <c r="G98" s="21">
        <f>Assumptions!$H$165*G$11*G$18</f>
        <v/>
      </c>
      <c r="H98" s="21">
        <f>Assumptions!$H$165*H$11*H$18</f>
        <v/>
      </c>
      <c r="I98" s="21">
        <f>Assumptions!$H$165*I$11*I$18</f>
        <v/>
      </c>
      <c r="J98" s="21">
        <f>Assumptions!$H$165*J$11*J$18</f>
        <v/>
      </c>
      <c r="K98" s="21">
        <f>Assumptions!$H$165*K$11*K$18</f>
        <v/>
      </c>
      <c r="L98" s="53">
        <f>Assumptions!$H$165*L$11*L$18</f>
        <v/>
      </c>
      <c r="M98" s="21">
        <f>SUM(B98:K98)</f>
        <v/>
      </c>
    </row>
    <row r="99">
      <c r="A99" s="61" t="inlineStr">
        <is>
          <t>TOTAL OPERATING EXPENSES</t>
        </is>
      </c>
      <c r="B99" s="62">
        <f>B$76+SUM(B77:B98)</f>
        <v/>
      </c>
      <c r="C99" s="62">
        <f>C$76+SUM(C77:C98)</f>
        <v/>
      </c>
      <c r="D99" s="62">
        <f>D$76+SUM(D77:D98)</f>
        <v/>
      </c>
      <c r="E99" s="62">
        <f>E$76+SUM(E77:E98)</f>
        <v/>
      </c>
      <c r="F99" s="62">
        <f>F$76+SUM(F77:F98)</f>
        <v/>
      </c>
      <c r="G99" s="62">
        <f>G$76+SUM(G77:G98)</f>
        <v/>
      </c>
      <c r="H99" s="62">
        <f>H$76+SUM(H77:H98)</f>
        <v/>
      </c>
      <c r="I99" s="62">
        <f>I$76+SUM(I77:I98)</f>
        <v/>
      </c>
      <c r="J99" s="62">
        <f>J$76+SUM(J77:J98)</f>
        <v/>
      </c>
      <c r="K99" s="62">
        <f>K$76+SUM(K77:K98)</f>
        <v/>
      </c>
      <c r="L99" s="63">
        <f>L$76+SUM(L77:L98)</f>
        <v/>
      </c>
      <c r="M99" s="62">
        <f>SUM(B99:K99)</f>
        <v/>
      </c>
    </row>
    <row r="100">
      <c r="A100" s="7" t="inlineStr">
        <is>
          <t>RESULTS</t>
        </is>
      </c>
      <c r="B100" s="8" t="n"/>
      <c r="C100" s="8" t="n"/>
      <c r="D100" s="8" t="n"/>
      <c r="E100" s="8" t="n"/>
      <c r="F100" s="8" t="n"/>
      <c r="G100" s="8" t="n"/>
      <c r="H100" s="8" t="n"/>
      <c r="I100" s="8" t="n"/>
      <c r="J100" s="8" t="n"/>
      <c r="K100" s="8" t="n"/>
      <c r="L100" s="8" t="n"/>
      <c r="M100" s="8" t="n"/>
      <c r="N100" s="8" t="n"/>
    </row>
    <row r="101">
      <c r="A101" s="61" t="inlineStr">
        <is>
          <t>NET OPERATING RESULT, earned revenue only (EBITDA)</t>
        </is>
      </c>
      <c r="B101" s="62">
        <f>B$58-B$99</f>
        <v/>
      </c>
      <c r="C101" s="62">
        <f>C$58-C$99</f>
        <v/>
      </c>
      <c r="D101" s="62">
        <f>D$58-D$99</f>
        <v/>
      </c>
      <c r="E101" s="62">
        <f>E$58-E$99</f>
        <v/>
      </c>
      <c r="F101" s="62">
        <f>F$58-F$99</f>
        <v/>
      </c>
      <c r="G101" s="62">
        <f>G$58-G$99</f>
        <v/>
      </c>
      <c r="H101" s="62">
        <f>H$58-H$99</f>
        <v/>
      </c>
      <c r="I101" s="62">
        <f>I$58-I$99</f>
        <v/>
      </c>
      <c r="J101" s="62">
        <f>J$58-J$99</f>
        <v/>
      </c>
      <c r="K101" s="62">
        <f>K$58-K$99</f>
        <v/>
      </c>
      <c r="L101" s="63">
        <f>L$58-L$99</f>
        <v/>
      </c>
      <c r="M101" s="62">
        <f>SUM(B101:K101)</f>
        <v/>
      </c>
    </row>
    <row r="102">
      <c r="A102" s="61" t="inlineStr">
        <is>
          <t>NET RESULT AFTER CONTRIBUTED INCOME</t>
        </is>
      </c>
      <c r="B102" s="62">
        <f>B$101+B$64</f>
        <v/>
      </c>
      <c r="C102" s="62">
        <f>C$101+C$64</f>
        <v/>
      </c>
      <c r="D102" s="62">
        <f>D$101+D$64</f>
        <v/>
      </c>
      <c r="E102" s="62">
        <f>E$101+E$64</f>
        <v/>
      </c>
      <c r="F102" s="62">
        <f>F$101+F$64</f>
        <v/>
      </c>
      <c r="G102" s="62">
        <f>G$101+G$64</f>
        <v/>
      </c>
      <c r="H102" s="62">
        <f>H$101+H$64</f>
        <v/>
      </c>
      <c r="I102" s="62">
        <f>I$101+I$64</f>
        <v/>
      </c>
      <c r="J102" s="62">
        <f>J$101+J$64</f>
        <v/>
      </c>
      <c r="K102" s="62">
        <f>K$101+K$64</f>
        <v/>
      </c>
      <c r="L102" s="63">
        <f>L$101+L$64</f>
        <v/>
      </c>
      <c r="M102" s="62">
        <f>SUM(B102:K102)</f>
        <v/>
      </c>
    </row>
    <row r="103">
      <c r="A103" s="37" t="inlineStr">
        <is>
          <t>Capital and pre-opening uses (Capex sheet)</t>
        </is>
      </c>
      <c r="B103" s="21">
        <f>Capex!D181</f>
        <v/>
      </c>
      <c r="C103" s="21">
        <f>Capex!E181</f>
        <v/>
      </c>
      <c r="D103" s="21">
        <f>Capex!F181</f>
        <v/>
      </c>
      <c r="E103" s="21">
        <f>Capex!G181</f>
        <v/>
      </c>
      <c r="F103" s="21">
        <f>Capex!H181</f>
        <v/>
      </c>
      <c r="G103" s="21">
        <f>Capex!I181</f>
        <v/>
      </c>
      <c r="H103" s="21">
        <f>Capex!J181</f>
        <v/>
      </c>
      <c r="I103" s="21">
        <f>Capex!K181</f>
        <v/>
      </c>
      <c r="J103" s="21">
        <f>Capex!L181</f>
        <v/>
      </c>
      <c r="K103" s="21">
        <f>Capex!M181</f>
        <v/>
      </c>
      <c r="M103" s="21">
        <f>SUM(B103:K103)</f>
        <v/>
      </c>
      <c r="N103" s="54" t="inlineStr">
        <is>
          <t>From the Capex sheet; land, build, pre-opening, overhead</t>
        </is>
      </c>
    </row>
    <row r="104">
      <c r="A104" s="37" t="inlineStr">
        <is>
          <t>Net cash flow before financing</t>
        </is>
      </c>
      <c r="B104" s="21">
        <f>B$102-B$103</f>
        <v/>
      </c>
      <c r="C104" s="21">
        <f>C$102-C$103</f>
        <v/>
      </c>
      <c r="D104" s="21">
        <f>D$102-D$103</f>
        <v/>
      </c>
      <c r="E104" s="21">
        <f>E$102-E$103</f>
        <v/>
      </c>
      <c r="F104" s="21">
        <f>F$102-F$103</f>
        <v/>
      </c>
      <c r="G104" s="21">
        <f>G$102-G$103</f>
        <v/>
      </c>
      <c r="H104" s="21">
        <f>H$102-H$103</f>
        <v/>
      </c>
      <c r="I104" s="21">
        <f>I$102-I$103</f>
        <v/>
      </c>
      <c r="J104" s="21">
        <f>J$102-J$103</f>
        <v/>
      </c>
      <c r="K104" s="21">
        <f>K$102-K$103</f>
        <v/>
      </c>
      <c r="M104" s="21">
        <f>SUM(B104:K104)</f>
        <v/>
      </c>
    </row>
    <row r="105">
      <c r="A105" s="61" t="inlineStr">
        <is>
          <t>CUMULATIVE CASH BEFORE FINANCING</t>
        </is>
      </c>
      <c r="B105" s="62">
        <f>B$104</f>
        <v/>
      </c>
      <c r="C105" s="62">
        <f>B105+C$104</f>
        <v/>
      </c>
      <c r="D105" s="62">
        <f>C105+D$104</f>
        <v/>
      </c>
      <c r="E105" s="62">
        <f>D105+E$104</f>
        <v/>
      </c>
      <c r="F105" s="62">
        <f>E105+F$104</f>
        <v/>
      </c>
      <c r="G105" s="62">
        <f>F105+G$104</f>
        <v/>
      </c>
      <c r="H105" s="62">
        <f>G105+H$104</f>
        <v/>
      </c>
      <c r="I105" s="62">
        <f>H105+I$104</f>
        <v/>
      </c>
      <c r="J105" s="62">
        <f>I105+J$104</f>
        <v/>
      </c>
      <c r="K105" s="62">
        <f>J105+K$104</f>
        <v/>
      </c>
      <c r="L105" s="68" t="n"/>
      <c r="M105" s="69" t="n"/>
      <c r="N105" s="54" t="inlineStr">
        <is>
          <t>Before debt, equity and gifts for capital</t>
        </is>
      </c>
    </row>
    <row r="106">
      <c r="A106" s="7" t="inlineStr">
        <is>
          <t>MEMO AND CHECKS</t>
        </is>
      </c>
      <c r="B106" s="8" t="n"/>
      <c r="C106" s="8" t="n"/>
      <c r="D106" s="8" t="n"/>
      <c r="E106" s="8" t="n"/>
      <c r="F106" s="8" t="n"/>
      <c r="G106" s="8" t="n"/>
      <c r="H106" s="8" t="n"/>
      <c r="I106" s="8" t="n"/>
      <c r="J106" s="8" t="n"/>
      <c r="K106" s="8" t="n"/>
      <c r="L106" s="8" t="n"/>
      <c r="M106" s="8" t="n"/>
      <c r="N106" s="8" t="n"/>
    </row>
    <row r="107">
      <c r="A107" s="37" t="inlineStr">
        <is>
          <t>TOT collected and remitted on billed cabin nights (memo, not revenue)</t>
        </is>
      </c>
      <c r="B107" s="21">
        <f>B$46*Assumptions!$H$103</f>
        <v/>
      </c>
      <c r="C107" s="21">
        <f>C$46*Assumptions!$H$103</f>
        <v/>
      </c>
      <c r="D107" s="21">
        <f>D$46*Assumptions!$H$103</f>
        <v/>
      </c>
      <c r="E107" s="21">
        <f>E$46*Assumptions!$H$103</f>
        <v/>
      </c>
      <c r="F107" s="21">
        <f>F$46*Assumptions!$H$103</f>
        <v/>
      </c>
      <c r="G107" s="21">
        <f>G$46*Assumptions!$H$103</f>
        <v/>
      </c>
      <c r="H107" s="21">
        <f>H$46*Assumptions!$H$103</f>
        <v/>
      </c>
      <c r="I107" s="21">
        <f>I$46*Assumptions!$H$103</f>
        <v/>
      </c>
      <c r="J107" s="21">
        <f>J$46*Assumptions!$H$103</f>
        <v/>
      </c>
      <c r="K107" s="21">
        <f>K$46*Assumptions!$H$103</f>
        <v/>
      </c>
      <c r="L107" s="53">
        <f>L$46*Assumptions!$H$103</f>
        <v/>
      </c>
      <c r="M107" s="21">
        <f>SUM(B107:K107)</f>
        <v/>
      </c>
    </row>
    <row r="108">
      <c r="A108" s="37" t="inlineStr">
        <is>
          <t>Billed cabin revenue per available cabin night (retreat lodging sits inside the all-in price)</t>
        </is>
      </c>
      <c r="B108" s="21">
        <f>IF(B$21&gt;0,B$46/B$21,0)</f>
        <v/>
      </c>
      <c r="C108" s="21">
        <f>IF(C$21&gt;0,C$46/C$21,0)</f>
        <v/>
      </c>
      <c r="D108" s="21">
        <f>IF(D$21&gt;0,D$46/D$21,0)</f>
        <v/>
      </c>
      <c r="E108" s="21">
        <f>IF(E$21&gt;0,E$46/E$21,0)</f>
        <v/>
      </c>
      <c r="F108" s="21">
        <f>IF(F$21&gt;0,F$46/F$21,0)</f>
        <v/>
      </c>
      <c r="G108" s="21">
        <f>IF(G$21&gt;0,G$46/G$21,0)</f>
        <v/>
      </c>
      <c r="H108" s="21">
        <f>IF(H$21&gt;0,H$46/H$21,0)</f>
        <v/>
      </c>
      <c r="I108" s="21">
        <f>IF(I$21&gt;0,I$46/I$21,0)</f>
        <v/>
      </c>
      <c r="J108" s="21">
        <f>IF(J$21&gt;0,J$46/J$21,0)</f>
        <v/>
      </c>
      <c r="K108" s="21">
        <f>IF(K$21&gt;0,K$46/K$21,0)</f>
        <v/>
      </c>
      <c r="L108" s="53">
        <f>IF(L$21&gt;0,L$46/L$21,0)</f>
        <v/>
      </c>
    </row>
    <row r="109">
      <c r="A109" s="37" t="inlineStr">
        <is>
          <t>Break-even test, earned only (year or 9999)</t>
        </is>
      </c>
      <c r="B109" s="21">
        <f>IF(AND(B$7&gt;=1,B$101&gt;=0),B$6,9999)</f>
        <v/>
      </c>
      <c r="C109" s="21">
        <f>IF(AND(C$7&gt;=1,C$101&gt;=0),C$6,9999)</f>
        <v/>
      </c>
      <c r="D109" s="21">
        <f>IF(AND(D$7&gt;=1,D$101&gt;=0),D$6,9999)</f>
        <v/>
      </c>
      <c r="E109" s="21">
        <f>IF(AND(E$7&gt;=1,E$101&gt;=0),E$6,9999)</f>
        <v/>
      </c>
      <c r="F109" s="21">
        <f>IF(AND(F$7&gt;=1,F$101&gt;=0),F$6,9999)</f>
        <v/>
      </c>
      <c r="G109" s="21">
        <f>IF(AND(G$7&gt;=1,G$101&gt;=0),G$6,9999)</f>
        <v/>
      </c>
      <c r="H109" s="21">
        <f>IF(AND(H$7&gt;=1,H$101&gt;=0),H$6,9999)</f>
        <v/>
      </c>
      <c r="I109" s="21">
        <f>IF(AND(I$7&gt;=1,I$101&gt;=0),I$6,9999)</f>
        <v/>
      </c>
      <c r="J109" s="21">
        <f>IF(AND(J$7&gt;=1,J$101&gt;=0),J$6,9999)</f>
        <v/>
      </c>
      <c r="K109" s="21">
        <f>IF(AND(K$7&gt;=1,K$101&gt;=0),K$6,9999)</f>
        <v/>
      </c>
    </row>
    <row r="110">
      <c r="A110" s="37" t="inlineStr">
        <is>
          <t>Break-even test, after contributed (year or 9999)</t>
        </is>
      </c>
      <c r="B110" s="21">
        <f>IF(AND(B$7&gt;=1,B$102&gt;=0),B$6,9999)</f>
        <v/>
      </c>
      <c r="C110" s="21">
        <f>IF(AND(C$7&gt;=1,C$102&gt;=0),C$6,9999)</f>
        <v/>
      </c>
      <c r="D110" s="21">
        <f>IF(AND(D$7&gt;=1,D$102&gt;=0),D$6,9999)</f>
        <v/>
      </c>
      <c r="E110" s="21">
        <f>IF(AND(E$7&gt;=1,E$102&gt;=0),E$6,9999)</f>
        <v/>
      </c>
      <c r="F110" s="21">
        <f>IF(AND(F$7&gt;=1,F$102&gt;=0),F$6,9999)</f>
        <v/>
      </c>
      <c r="G110" s="21">
        <f>IF(AND(G$7&gt;=1,G$102&gt;=0),G$6,9999)</f>
        <v/>
      </c>
      <c r="H110" s="21">
        <f>IF(AND(H$7&gt;=1,H$102&gt;=0),H$6,9999)</f>
        <v/>
      </c>
      <c r="I110" s="21">
        <f>IF(AND(I$7&gt;=1,I$102&gt;=0),I$6,9999)</f>
        <v/>
      </c>
      <c r="J110" s="21">
        <f>IF(AND(J$7&gt;=1,J$102&gt;=0),J$6,9999)</f>
        <v/>
      </c>
      <c r="K110" s="21">
        <f>IF(AND(K$7&gt;=1,K$102&gt;=0),K$6,9999)</f>
        <v/>
      </c>
    </row>
    <row r="111">
      <c r="A111" s="37" t="inlineStr">
        <is>
          <t>Check: large events within the assumed use-permit cap</t>
        </is>
      </c>
      <c r="B111" s="9">
        <f>IF(B$31&lt;=Assumptions!$H$128+0.0001,"OK","Over cap")</f>
        <v/>
      </c>
      <c r="C111" s="9">
        <f>IF(C$31&lt;=Assumptions!$H$128+0.0001,"OK","Over cap")</f>
        <v/>
      </c>
      <c r="D111" s="9">
        <f>IF(D$31&lt;=Assumptions!$H$128+0.0001,"OK","Over cap")</f>
        <v/>
      </c>
      <c r="E111" s="9">
        <f>IF(E$31&lt;=Assumptions!$H$128+0.0001,"OK","Over cap")</f>
        <v/>
      </c>
      <c r="F111" s="9">
        <f>IF(F$31&lt;=Assumptions!$H$128+0.0001,"OK","Over cap")</f>
        <v/>
      </c>
      <c r="G111" s="9">
        <f>IF(G$31&lt;=Assumptions!$H$128+0.0001,"OK","Over cap")</f>
        <v/>
      </c>
      <c r="H111" s="9">
        <f>IF(H$31&lt;=Assumptions!$H$128+0.0001,"OK","Over cap")</f>
        <v/>
      </c>
      <c r="I111" s="9">
        <f>IF(I$31&lt;=Assumptions!$H$128+0.0001,"OK","Over cap")</f>
        <v/>
      </c>
      <c r="J111" s="9">
        <f>IF(J$31&lt;=Assumptions!$H$128+0.0001,"OK","Over cap")</f>
        <v/>
      </c>
      <c r="K111" s="9">
        <f>IF(K$31&lt;=Assumptions!$H$128+0.0001,"OK","Over cap")</f>
        <v/>
      </c>
      <c r="L111" s="70">
        <f>IF(L$31&lt;=Assumptions!$H$128+0.0001,"OK","Over cap")</f>
        <v/>
      </c>
    </row>
    <row r="112">
      <c r="A112" s="37" t="inlineStr">
        <is>
          <t>Check: utilization at or below 85%</t>
        </is>
      </c>
      <c r="B112" s="9">
        <f>IF(B$40&lt;=0.85,"OK","Check")</f>
        <v/>
      </c>
      <c r="C112" s="9">
        <f>IF(C$40&lt;=0.85,"OK","Check")</f>
        <v/>
      </c>
      <c r="D112" s="9">
        <f>IF(D$40&lt;=0.85,"OK","Check")</f>
        <v/>
      </c>
      <c r="E112" s="9">
        <f>IF(E$40&lt;=0.85,"OK","Check")</f>
        <v/>
      </c>
      <c r="F112" s="9">
        <f>IF(F$40&lt;=0.85,"OK","Check")</f>
        <v/>
      </c>
      <c r="G112" s="9">
        <f>IF(G$40&lt;=0.85,"OK","Check")</f>
        <v/>
      </c>
      <c r="H112" s="9">
        <f>IF(H$40&lt;=0.85,"OK","Check")</f>
        <v/>
      </c>
      <c r="I112" s="9">
        <f>IF(I$40&lt;=0.85,"OK","Check")</f>
        <v/>
      </c>
      <c r="J112" s="9">
        <f>IF(J$40&lt;=0.85,"OK","Check")</f>
        <v/>
      </c>
      <c r="K112" s="9">
        <f>IF(K$40&lt;=0.85,"OK","Check")</f>
        <v/>
      </c>
      <c r="L112" s="70">
        <f>IF(L$40&lt;=0.85,"OK","Check")</f>
        <v/>
      </c>
    </row>
  </sheetData>
  <pageMargins left="0.75" right="0.75" top="1" bottom="1" header="0.5" footer="0.5"/>
  <pageSetup orientation="landscape" fitToWidth="1"/>
</worksheet>
</file>

<file path=xl/worksheets/sheet10.xml><?xml version="1.0" encoding="utf-8"?>
<worksheet xmlns="http://schemas.openxmlformats.org/spreadsheetml/2006/main">
  <sheetPr>
    <outlinePr summaryBelow="1" summaryRight="1"/>
    <pageSetUpPr fitToPage="1"/>
  </sheetPr>
  <dimension ref="A1:AG3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5" customWidth="1" min="1" max="1"/>
    <col width="8" customWidth="1" min="2" max="2"/>
    <col width="60" customWidth="1" min="3" max="3"/>
    <col width="8" customWidth="1" min="4" max="4"/>
    <col width="8" customWidth="1" min="5" max="5"/>
    <col width="10" customWidth="1" min="6" max="6"/>
    <col width="7" customWidth="1" min="7" max="7"/>
    <col width="60" customWidth="1" min="8" max="8"/>
    <col width="3.2" customWidth="1" min="9" max="9"/>
    <col width="3.2" customWidth="1" min="10" max="10"/>
    <col width="3.2" customWidth="1" min="11" max="11"/>
    <col width="3.2" customWidth="1" min="12" max="12"/>
    <col width="3.2" customWidth="1" min="13" max="13"/>
    <col width="3.2" customWidth="1" min="14" max="14"/>
    <col width="3.2" customWidth="1" min="15" max="15"/>
    <col width="3.2" customWidth="1" min="16" max="16"/>
    <col width="3.2" customWidth="1" min="17" max="17"/>
    <col width="3.2" customWidth="1" min="18" max="18"/>
    <col width="3.2" customWidth="1" min="19" max="19"/>
    <col width="3.2" customWidth="1" min="20" max="20"/>
    <col width="3.2" customWidth="1" min="21" max="21"/>
    <col width="3.2" customWidth="1" min="22" max="22"/>
    <col width="3.2" customWidth="1" min="23" max="23"/>
    <col width="3.2" customWidth="1" min="24" max="24"/>
    <col width="3.2" customWidth="1" min="25" max="25"/>
    <col width="3.2" customWidth="1" min="26" max="26"/>
    <col width="3.2" customWidth="1" min="27" max="27"/>
    <col width="3.2" customWidth="1" min="28" max="28"/>
    <col width="3.2" customWidth="1" min="29" max="29"/>
    <col width="3.2" customWidth="1" min="30" max="30"/>
    <col width="3.2" customWidth="1" min="31" max="31"/>
    <col width="3.2" customWidth="1" min="32" max="32"/>
    <col width="3.2" customWidth="1" min="33" max="33"/>
  </cols>
  <sheetData>
    <row r="1">
      <c r="A1" s="1" t="inlineStr">
        <is>
          <t>Bastion  -  Timeline (our 36-month schedule, 14 Oct 2026)</t>
        </is>
      </c>
    </row>
    <row r="2">
      <c r="A2" s="2" t="inlineStr">
        <is>
          <t>Critical path (dark bars): site, due diligence and the camp use determination, camp CUP and CEQA, permits, the build of Phases 1 and 2 in 2029, opening May 2030; Phase 3 from 2030 to a May 2032 gallery opening. The Ojai research range is 42 to 108 months from contract to opening (S28), so entitlement is the risk. Ranges in the notes.</t>
        </is>
      </c>
    </row>
    <row r="4">
      <c r="A4" s="3" t="inlineStr">
        <is>
          <t>ID</t>
        </is>
      </c>
      <c r="B4" s="4" t="inlineStr">
        <is>
          <t>Phase</t>
        </is>
      </c>
      <c r="C4" s="4" t="inlineStr">
        <is>
          <t>Item</t>
        </is>
      </c>
      <c r="D4" s="4" t="inlineStr">
        <is>
          <t>Start</t>
        </is>
      </c>
      <c r="E4" s="4" t="inlineStr">
        <is>
          <t>End</t>
        </is>
      </c>
      <c r="F4" s="4" t="inlineStr">
        <is>
          <t>Depends on</t>
        </is>
      </c>
      <c r="G4" s="4" t="inlineStr">
        <is>
          <t>Critical</t>
        </is>
      </c>
      <c r="H4" s="4" t="inlineStr">
        <is>
          <t>Note</t>
        </is>
      </c>
      <c r="I4" s="71" t="inlineStr">
        <is>
          <t>Q4 2026</t>
        </is>
      </c>
      <c r="J4" s="71" t="inlineStr">
        <is>
          <t>Q1 2027</t>
        </is>
      </c>
      <c r="K4" s="71" t="inlineStr">
        <is>
          <t>Q2 2027</t>
        </is>
      </c>
      <c r="L4" s="71" t="inlineStr">
        <is>
          <t>Q3 2027</t>
        </is>
      </c>
      <c r="M4" s="71" t="inlineStr">
        <is>
          <t>Q4 2027</t>
        </is>
      </c>
      <c r="N4" s="71" t="inlineStr">
        <is>
          <t>Q1 2028</t>
        </is>
      </c>
      <c r="O4" s="71" t="inlineStr">
        <is>
          <t>Q2 2028</t>
        </is>
      </c>
      <c r="P4" s="71" t="inlineStr">
        <is>
          <t>Q3 2028</t>
        </is>
      </c>
      <c r="Q4" s="71" t="inlineStr">
        <is>
          <t>Q4 2028</t>
        </is>
      </c>
      <c r="R4" s="71" t="inlineStr">
        <is>
          <t>Q1 2029</t>
        </is>
      </c>
      <c r="S4" s="71" t="inlineStr">
        <is>
          <t>Q2 2029</t>
        </is>
      </c>
      <c r="T4" s="71" t="inlineStr">
        <is>
          <t>Q3 2029</t>
        </is>
      </c>
      <c r="U4" s="71" t="inlineStr">
        <is>
          <t>Q4 2029</t>
        </is>
      </c>
      <c r="V4" s="71" t="inlineStr">
        <is>
          <t>Q1 2030</t>
        </is>
      </c>
      <c r="W4" s="71" t="inlineStr">
        <is>
          <t>Q2 2030</t>
        </is>
      </c>
      <c r="X4" s="71" t="inlineStr">
        <is>
          <t>Q3 2030</t>
        </is>
      </c>
      <c r="Y4" s="71" t="inlineStr">
        <is>
          <t>Q4 2030</t>
        </is>
      </c>
      <c r="Z4" s="71" t="inlineStr">
        <is>
          <t>Q1 2031</t>
        </is>
      </c>
      <c r="AA4" s="71" t="inlineStr">
        <is>
          <t>Q2 2031</t>
        </is>
      </c>
      <c r="AB4" s="71" t="inlineStr">
        <is>
          <t>Q3 2031</t>
        </is>
      </c>
      <c r="AC4" s="71" t="inlineStr">
        <is>
          <t>Q4 2031</t>
        </is>
      </c>
      <c r="AD4" s="71" t="inlineStr">
        <is>
          <t>Q1 2032</t>
        </is>
      </c>
      <c r="AE4" s="71" t="inlineStr">
        <is>
          <t>Q2 2032</t>
        </is>
      </c>
      <c r="AF4" s="71" t="inlineStr">
        <is>
          <t>Q3 2032</t>
        </is>
      </c>
      <c r="AG4" s="71" t="inlineStr">
        <is>
          <t>Q4 2032</t>
        </is>
      </c>
    </row>
    <row r="5">
      <c r="A5" s="27" t="inlineStr">
        <is>
          <t>T01</t>
        </is>
      </c>
      <c r="B5" s="27" t="inlineStr">
        <is>
          <t>Stage 0</t>
        </is>
      </c>
      <c r="C5" s="72" t="inlineStr">
        <is>
          <t>Vision deck and research</t>
        </is>
      </c>
      <c r="D5" s="27" t="inlineStr">
        <is>
          <t>2026-10</t>
        </is>
      </c>
      <c r="E5" s="27" t="inlineStr">
        <is>
          <t>2026-12</t>
        </is>
      </c>
      <c r="F5" s="27" t="inlineStr"/>
      <c r="G5" s="27" t="inlineStr">
        <is>
          <t>Yes</t>
        </is>
      </c>
      <c r="H5" s="27" t="inlineStr">
        <is>
          <t>Deck live; research in the vault</t>
        </is>
      </c>
      <c r="I5" s="73" t="n"/>
    </row>
    <row r="6">
      <c r="A6" s="27" t="inlineStr">
        <is>
          <t>T02</t>
        </is>
      </c>
      <c r="B6" s="27" t="inlineStr">
        <is>
          <t>Stage 0</t>
        </is>
      </c>
      <c r="C6" s="27" t="inlineStr">
        <is>
          <t>Financial model, funding strategy and entity path (fiscal sponsor first)</t>
        </is>
      </c>
      <c r="D6" s="27" t="inlineStr">
        <is>
          <t>2026-11</t>
        </is>
      </c>
      <c r="E6" s="27" t="inlineStr">
        <is>
          <t>2027-03</t>
        </is>
      </c>
      <c r="F6" s="27" t="inlineStr">
        <is>
          <t>T01</t>
        </is>
      </c>
      <c r="G6" s="27" t="inlineStr"/>
      <c r="H6" s="27" t="inlineStr">
        <is>
          <t>Decide nonprofit vs hybrid before buying land: it changes property tax and who can give</t>
        </is>
      </c>
      <c r="I6" s="74" t="n"/>
      <c r="J6" s="74" t="n"/>
    </row>
    <row r="7">
      <c r="A7" s="27" t="inlineStr">
        <is>
          <t>T03</t>
        </is>
      </c>
      <c r="B7" s="27" t="inlineStr">
        <is>
          <t>Stage 0</t>
        </is>
      </c>
      <c r="C7" s="72" t="inlineStr">
        <is>
          <t>Site search: 5 to 50 acres zoned RA (at least 10 for a camp permit), no Williamson Act contract, Fire Safe access, water; broker plus land-use attorney</t>
        </is>
      </c>
      <c r="D7" s="27" t="inlineStr">
        <is>
          <t>2026-11</t>
        </is>
      </c>
      <c r="E7" s="27" t="inlineStr">
        <is>
          <t>2027-04</t>
        </is>
      </c>
      <c r="F7" s="27" t="inlineStr">
        <is>
          <t>T01</t>
        </is>
      </c>
      <c r="G7" s="27" t="inlineStr">
        <is>
          <t>Yes</t>
        </is>
      </c>
      <c r="H7" s="27" t="inlineStr">
        <is>
          <t>Or a property that already holds a camp or retreat permit (S28)</t>
        </is>
      </c>
      <c r="I7" s="73" t="n"/>
      <c r="J7" s="73" t="n"/>
      <c r="K7" s="73" t="n"/>
    </row>
    <row r="8">
      <c r="A8" s="27" t="inlineStr">
        <is>
          <t>T04</t>
        </is>
      </c>
      <c r="B8" s="27" t="inlineStr">
        <is>
          <t>Stage 0</t>
        </is>
      </c>
      <c r="C8" s="72" t="inlineStr">
        <is>
          <t>Land under contract (purchase agreement with about 90 days of due diligence)</t>
        </is>
      </c>
      <c r="D8" s="27" t="inlineStr">
        <is>
          <t>2027-05</t>
        </is>
      </c>
      <c r="E8" s="27" t="inlineStr">
        <is>
          <t>2027-05</t>
        </is>
      </c>
      <c r="F8" s="27" t="inlineStr">
        <is>
          <t>T03</t>
        </is>
      </c>
      <c r="G8" s="27" t="inlineStr">
        <is>
          <t>Yes</t>
        </is>
      </c>
      <c r="H8" s="27" t="inlineStr">
        <is>
          <t>Milestone: 36 months before opening (planning target, 14 Oct 2026)</t>
        </is>
      </c>
      <c r="K8" s="75" t="n"/>
    </row>
    <row r="9">
      <c r="A9" s="27" t="inlineStr">
        <is>
          <t>T05</t>
        </is>
      </c>
      <c r="B9" s="27" t="inlineStr">
        <is>
          <t>Stage 0</t>
        </is>
      </c>
      <c r="C9" s="72" t="inlineStr">
        <is>
          <t>Due diligence: zoning, title and legal lots, 72-hour acoustic baseline and night playback test, water (Casitas or well), septic, fire access, insurance quote</t>
        </is>
      </c>
      <c r="D9" s="27" t="inlineStr">
        <is>
          <t>2027-05</t>
        </is>
      </c>
      <c r="E9" s="27" t="inlineStr">
        <is>
          <t>2027-07</t>
        </is>
      </c>
      <c r="F9" s="27" t="inlineStr">
        <is>
          <t>T04</t>
        </is>
      </c>
      <c r="G9" s="27" t="inlineStr">
        <is>
          <t>Yes</t>
        </is>
      </c>
      <c r="H9" s="27" t="inlineStr">
        <is>
          <t>Walk away if sound, water, fire access or insurance fails</t>
        </is>
      </c>
      <c r="K9" s="73" t="n"/>
      <c r="L9" s="73" t="n"/>
    </row>
    <row r="10">
      <c r="A10" s="27" t="inlineStr">
        <is>
          <t>T06</t>
        </is>
      </c>
      <c r="B10" s="27" t="inlineStr">
        <is>
          <t>Stage 0</t>
        </is>
      </c>
      <c r="C10" s="72" t="inlineStr">
        <is>
          <t>Pre-submittal review: written county ruling that residencies, recording and performances fit the camp category</t>
        </is>
      </c>
      <c r="D10" s="27" t="inlineStr">
        <is>
          <t>2027-05</t>
        </is>
      </c>
      <c r="E10" s="27" t="inlineStr">
        <is>
          <t>2027-07</t>
        </is>
      </c>
      <c r="F10" s="27" t="inlineStr">
        <is>
          <t>T04</t>
        </is>
      </c>
      <c r="G10" s="27" t="inlineStr">
        <is>
          <t>Yes</t>
        </is>
      </c>
      <c r="H10" s="27" t="inlineStr">
        <is>
          <t>The gate for the whole plan (S28)</t>
        </is>
      </c>
      <c r="K10" s="73" t="n"/>
      <c r="L10" s="73" t="n"/>
    </row>
    <row r="11">
      <c r="A11" s="27" t="inlineStr">
        <is>
          <t>T07</t>
        </is>
      </c>
      <c r="B11" s="27" t="inlineStr">
        <is>
          <t>Stage 0</t>
        </is>
      </c>
      <c r="C11" s="72" t="inlineStr">
        <is>
          <t>Close escrow</t>
        </is>
      </c>
      <c r="D11" s="27" t="inlineStr">
        <is>
          <t>2027-08</t>
        </is>
      </c>
      <c r="E11" s="27" t="inlineStr">
        <is>
          <t>2027-08</t>
        </is>
      </c>
      <c r="F11" s="27" t="inlineStr">
        <is>
          <t>T05, T06</t>
        </is>
      </c>
      <c r="G11" s="27" t="inlineStr">
        <is>
          <t>Yes</t>
        </is>
      </c>
      <c r="H11" s="27" t="inlineStr">
        <is>
          <t>Milestone</t>
        </is>
      </c>
      <c r="L11" s="75" t="n"/>
    </row>
    <row r="12">
      <c r="A12" s="27" t="inlineStr">
        <is>
          <t>T08</t>
        </is>
      </c>
      <c r="B12" s="27" t="inlineStr">
        <is>
          <t>Stage 0</t>
        </is>
      </c>
      <c r="C12" s="72" t="inlineStr">
        <is>
          <t>Leckie Studio masterplan and concept (test-fit during due diligence)</t>
        </is>
      </c>
      <c r="D12" s="27" t="inlineStr">
        <is>
          <t>2027-03</t>
        </is>
      </c>
      <c r="E12" s="27" t="inlineStr">
        <is>
          <t>2027-09</t>
        </is>
      </c>
      <c r="F12" s="27" t="inlineStr">
        <is>
          <t>T03</t>
        </is>
      </c>
      <c r="G12" s="27" t="inlineStr">
        <is>
          <t>Yes</t>
        </is>
      </c>
      <c r="H12" s="27" t="inlineStr">
        <is>
          <t>Feeds the camp permit package</t>
        </is>
      </c>
      <c r="J12" s="73" t="n"/>
      <c r="K12" s="73" t="n"/>
      <c r="L12" s="73" t="n"/>
    </row>
    <row r="13">
      <c r="A13" s="27" t="inlineStr">
        <is>
          <t>T09</t>
        </is>
      </c>
      <c r="B13" s="27" t="inlineStr">
        <is>
          <t>Stage 0</t>
        </is>
      </c>
      <c r="C13" s="72" t="inlineStr">
        <is>
          <t>Technical studies: noise with a night playback test, biology, cultural and tribal, traffic, fire and evacuation, geotech, water, septic, visual</t>
        </is>
      </c>
      <c r="D13" s="27" t="inlineStr">
        <is>
          <t>2027-06</t>
        </is>
      </c>
      <c r="E13" s="27" t="inlineStr">
        <is>
          <t>2027-12</t>
        </is>
      </c>
      <c r="F13" s="27" t="inlineStr">
        <is>
          <t>T05</t>
        </is>
      </c>
      <c r="G13" s="27" t="inlineStr">
        <is>
          <t>Yes</t>
        </is>
      </c>
      <c r="H13" s="27" t="inlineStr">
        <is>
          <t>USD 100k to 400k, 3 to 9 months (S28); started in escrow to hold the schedule</t>
        </is>
      </c>
      <c r="K13" s="73" t="n"/>
      <c r="L13" s="73" t="n"/>
      <c r="M13" s="73" t="n"/>
    </row>
    <row r="14">
      <c r="A14" s="27" t="inlineStr">
        <is>
          <t>T10</t>
        </is>
      </c>
      <c r="B14" s="27" t="inlineStr">
        <is>
          <t>Stage 0</t>
        </is>
      </c>
      <c r="C14" s="27" t="inlineStr">
        <is>
          <t>Community briefing at the Ojai Valley Municipal Advisory Council</t>
        </is>
      </c>
      <c r="D14" s="27" t="inlineStr">
        <is>
          <t>2027-10</t>
        </is>
      </c>
      <c r="E14" s="27" t="inlineStr">
        <is>
          <t>2027-12</t>
        </is>
      </c>
      <c r="F14" s="27" t="inlineStr">
        <is>
          <t>T08</t>
        </is>
      </c>
      <c r="G14" s="27" t="inlineStr"/>
      <c r="H14" s="27" t="inlineStr">
        <is>
          <t>The council reviewed the Krishnamurti and Camp Ramah cases (S28)</t>
        </is>
      </c>
      <c r="M14" s="74" t="n"/>
    </row>
    <row r="15">
      <c r="A15" s="27" t="inlineStr">
        <is>
          <t>T11</t>
        </is>
      </c>
      <c r="B15" s="27" t="inlineStr">
        <is>
          <t>Stage 0</t>
        </is>
      </c>
      <c r="C15" s="72" t="inlineStr">
        <is>
          <t>Schematic design and camp permit package (cabins, studio, gallery, amphitheater, a schedule of amplified evenings, a 20 to 25 year term)</t>
        </is>
      </c>
      <c r="D15" s="27" t="inlineStr">
        <is>
          <t>2027-08</t>
        </is>
      </c>
      <c r="E15" s="27" t="inlineStr">
        <is>
          <t>2027-12</t>
        </is>
      </c>
      <c r="F15" s="27" t="inlineStr">
        <is>
          <t>T07, T08, T09</t>
        </is>
      </c>
      <c r="G15" s="27" t="inlineStr">
        <is>
          <t>Yes</t>
        </is>
      </c>
      <c r="H15" s="27" t="inlineStr">
        <is>
          <t>Entitle the whole masterplan once, phased, so Phase 3 needs only building permits</t>
        </is>
      </c>
      <c r="L15" s="73" t="n"/>
      <c r="M15" s="73" t="n"/>
    </row>
    <row r="16">
      <c r="A16" s="27" t="inlineStr">
        <is>
          <t>T12</t>
        </is>
      </c>
      <c r="B16" s="27" t="inlineStr">
        <is>
          <t>Stage 0</t>
        </is>
      </c>
      <c r="C16" s="72" t="inlineStr">
        <is>
          <t>Camp CUP filed with the Planning Commission; completeness review</t>
        </is>
      </c>
      <c r="D16" s="27" t="inlineStr">
        <is>
          <t>2028-01</t>
        </is>
      </c>
      <c r="E16" s="27" t="inlineStr">
        <is>
          <t>2028-02</t>
        </is>
      </c>
      <c r="F16" s="27" t="inlineStr">
        <is>
          <t>T11</t>
        </is>
      </c>
      <c r="G16" s="27" t="inlineStr">
        <is>
          <t>Yes</t>
        </is>
      </c>
      <c r="H16" s="27" t="inlineStr"/>
      <c r="N16" s="73" t="n"/>
    </row>
    <row r="17">
      <c r="A17" s="27" t="inlineStr">
        <is>
          <t>T13</t>
        </is>
      </c>
      <c r="B17" s="27" t="inlineStr">
        <is>
          <t>Stage 0</t>
        </is>
      </c>
      <c r="C17" s="72" t="inlineStr">
        <is>
          <t>CEQA: Initial Study and Mitigated Negative Declaration with 30-day public review</t>
        </is>
      </c>
      <c r="D17" s="27" t="inlineStr">
        <is>
          <t>2028-02</t>
        </is>
      </c>
      <c r="E17" s="27" t="inlineStr">
        <is>
          <t>2028-08</t>
        </is>
      </c>
      <c r="F17" s="27" t="inlineStr">
        <is>
          <t>T12</t>
        </is>
      </c>
      <c r="G17" s="27" t="inlineStr">
        <is>
          <t>Yes</t>
        </is>
      </c>
      <c r="H17" s="27" t="inlineStr">
        <is>
          <t>An EIR would add 12 to 24 months (S28)</t>
        </is>
      </c>
      <c r="N17" s="73" t="n"/>
      <c r="O17" s="73" t="n"/>
      <c r="P17" s="73" t="n"/>
    </row>
    <row r="18">
      <c r="A18" s="27" t="inlineStr">
        <is>
          <t>T14</t>
        </is>
      </c>
      <c r="B18" s="27" t="inlineStr">
        <is>
          <t>Stage 0</t>
        </is>
      </c>
      <c r="C18" s="72" t="inlineStr">
        <is>
          <t>Planning Commission decision; 10-day appeal window</t>
        </is>
      </c>
      <c r="D18" s="27" t="inlineStr">
        <is>
          <t>2028-09</t>
        </is>
      </c>
      <c r="E18" s="27" t="inlineStr">
        <is>
          <t>2028-09</t>
        </is>
      </c>
      <c r="F18" s="27" t="inlineStr">
        <is>
          <t>T13</t>
        </is>
      </c>
      <c r="G18" s="27" t="inlineStr">
        <is>
          <t>Yes</t>
        </is>
      </c>
      <c r="H18" s="27" t="inlineStr">
        <is>
          <t>About 8 months after filing. Recent Ojai cases took 18 to 48 months, and an appeal adds 6 to 12 (S17, S28): the step most likely to move the opening</t>
        </is>
      </c>
      <c r="P18" s="75" t="n"/>
    </row>
    <row r="19">
      <c r="A19" s="27" t="inlineStr">
        <is>
          <t>T15</t>
        </is>
      </c>
      <c r="B19" s="27" t="inlineStr">
        <is>
          <t>Stage 0</t>
        </is>
      </c>
      <c r="C19" s="72" t="inlineStr">
        <is>
          <t>Design development and construction documents for Phases 1 and 2 (at risk, during CEQA)</t>
        </is>
      </c>
      <c r="D19" s="27" t="inlineStr">
        <is>
          <t>2028-01</t>
        </is>
      </c>
      <c r="E19" s="27" t="inlineStr">
        <is>
          <t>2028-10</t>
        </is>
      </c>
      <c r="F19" s="27" t="inlineStr">
        <is>
          <t>T11</t>
        </is>
      </c>
      <c r="G19" s="27" t="inlineStr">
        <is>
          <t>Yes</t>
        </is>
      </c>
      <c r="H19" s="27" t="inlineStr">
        <is>
          <t>Started before the decision so the build can begin in January 2029</t>
        </is>
      </c>
      <c r="N19" s="73" t="n"/>
      <c r="O19" s="73" t="n"/>
      <c r="P19" s="73" t="n"/>
      <c r="Q19" s="73" t="n"/>
    </row>
    <row r="20">
      <c r="A20" s="27" t="inlineStr">
        <is>
          <t>T16</t>
        </is>
      </c>
      <c r="B20" s="27" t="inlineStr">
        <is>
          <t>Stage 0</t>
        </is>
      </c>
      <c r="C20" s="27" t="inlineStr">
        <is>
          <t>HCD factory-built approval for the arhome design (through an approved agency)</t>
        </is>
      </c>
      <c r="D20" s="27" t="inlineStr">
        <is>
          <t>2028-01</t>
        </is>
      </c>
      <c r="E20" s="27" t="inlineStr">
        <is>
          <t>2028-09</t>
        </is>
      </c>
      <c r="F20" s="27" t="inlineStr">
        <is>
          <t>T08</t>
        </is>
      </c>
      <c r="G20" s="27" t="inlineStr"/>
      <c r="H20" s="27" t="inlineStr">
        <is>
          <t>4 to 9 months, USD 25k to 100k one time; every unit needs an HCD insignia (S28)</t>
        </is>
      </c>
      <c r="N20" s="74" t="n"/>
      <c r="O20" s="74" t="n"/>
      <c r="P20" s="74" t="n"/>
    </row>
    <row r="21">
      <c r="A21" s="27" t="inlineStr">
        <is>
          <t>T17</t>
        </is>
      </c>
      <c r="B21" s="27" t="inlineStr">
        <is>
          <t>Stage 0</t>
        </is>
      </c>
      <c r="C21" s="72" t="inlineStr">
        <is>
          <t>Zoning clearance (noise and Dark Sky plans), building, grading, fire and septic permits</t>
        </is>
      </c>
      <c r="D21" s="27" t="inlineStr">
        <is>
          <t>2028-09</t>
        </is>
      </c>
      <c r="E21" s="27" t="inlineStr">
        <is>
          <t>2028-12</t>
        </is>
      </c>
      <c r="F21" s="27" t="inlineStr">
        <is>
          <t>T14, T15</t>
        </is>
      </c>
      <c r="G21" s="27" t="inlineStr">
        <is>
          <t>Yes</t>
        </is>
      </c>
      <c r="H21" s="27" t="inlineStr">
        <is>
          <t>Plan check took 4 to 9 months in the research; building permit fees about 2.2 to 2.7% of construction value (S28)</t>
        </is>
      </c>
      <c r="P21" s="73" t="n"/>
      <c r="Q21" s="73" t="n"/>
    </row>
    <row r="22">
      <c r="A22" s="27" t="inlineStr">
        <is>
          <t>T18</t>
        </is>
      </c>
      <c r="B22" s="27" t="inlineStr">
        <is>
          <t>Stage 0</t>
        </is>
      </c>
      <c r="C22" s="27" t="inlineStr">
        <is>
          <t>Year-zero pilot residencies in borrowed rooms (Arcana or Ojai partner venues; Libbey Bowl for a larger performance)</t>
        </is>
      </c>
      <c r="D22" s="27" t="inlineStr">
        <is>
          <t>2027-04</t>
        </is>
      </c>
      <c r="E22" s="27" t="inlineStr">
        <is>
          <t>2028-10</t>
        </is>
      </c>
      <c r="F22" s="27" t="inlineStr">
        <is>
          <t>T01</t>
        </is>
      </c>
      <c r="G22" s="27" t="inlineStr"/>
      <c r="H22" s="27" t="inlineStr">
        <is>
          <t>S25: USD 0.16M to 0.53M</t>
        </is>
      </c>
      <c r="K22" s="74" t="n"/>
      <c r="L22" s="74" t="n"/>
      <c r="M22" s="74" t="n"/>
      <c r="N22" s="74" t="n"/>
      <c r="O22" s="74" t="n"/>
      <c r="P22" s="74" t="n"/>
      <c r="Q22" s="74" t="n"/>
    </row>
    <row r="23">
      <c r="A23" s="27" t="inlineStr">
        <is>
          <t>T19</t>
        </is>
      </c>
      <c r="B23" s="27" t="inlineStr">
        <is>
          <t>Stage 0</t>
        </is>
      </c>
      <c r="C23" s="27" t="inlineStr">
        <is>
          <t>On-site pop-ups, meadow and sound trail under the outdoor-event rules</t>
        </is>
      </c>
      <c r="D23" s="27" t="inlineStr">
        <is>
          <t>2028-03</t>
        </is>
      </c>
      <c r="E23" s="27" t="inlineStr">
        <is>
          <t>2030-04</t>
        </is>
      </c>
      <c r="F23" s="27" t="inlineStr">
        <is>
          <t>T07</t>
        </is>
      </c>
      <c r="G23" s="27" t="inlineStr"/>
      <c r="H23" s="27" t="inlineStr">
        <is>
          <t>Up to 5 events a year of 76 to 250 people on 5 to 249 acres; no permanent structures; amplified sound 10 am to 10 pm (S16)</t>
        </is>
      </c>
      <c r="N23" s="74" t="n"/>
      <c r="O23" s="74" t="n"/>
      <c r="P23" s="74" t="n"/>
      <c r="Q23" s="74" t="n"/>
      <c r="R23" s="74" t="n"/>
      <c r="S23" s="74" t="n"/>
      <c r="T23" s="74" t="n"/>
      <c r="U23" s="74" t="n"/>
      <c r="V23" s="74" t="n"/>
      <c r="W23" s="74" t="n"/>
    </row>
    <row r="24">
      <c r="A24" s="27" t="inlineStr">
        <is>
          <t>T20</t>
        </is>
      </c>
      <c r="B24" s="27" t="inlineStr">
        <is>
          <t>Stage 0</t>
        </is>
      </c>
      <c r="C24" s="27" t="inlineStr">
        <is>
          <t>Capital campaign: founding patrons (quiet phase), then public phase</t>
        </is>
      </c>
      <c r="D24" s="27" t="inlineStr">
        <is>
          <t>2027-01</t>
        </is>
      </c>
      <c r="E24" s="27" t="inlineStr">
        <is>
          <t>2030-04</t>
        </is>
      </c>
      <c r="F24" s="27" t="inlineStr">
        <is>
          <t>T02</t>
        </is>
      </c>
      <c r="G24" s="27" t="inlineStr"/>
      <c r="H24" s="27" t="inlineStr">
        <is>
          <t>Money for Phases 1 and 2 must be committed before construction contracts (December 2028)</t>
        </is>
      </c>
      <c r="J24" s="74" t="n"/>
      <c r="K24" s="74" t="n"/>
      <c r="L24" s="74" t="n"/>
      <c r="M24" s="74" t="n"/>
      <c r="N24" s="74" t="n"/>
      <c r="O24" s="74" t="n"/>
      <c r="P24" s="74" t="n"/>
      <c r="Q24" s="74" t="n"/>
      <c r="R24" s="74" t="n"/>
      <c r="S24" s="74" t="n"/>
      <c r="T24" s="74" t="n"/>
      <c r="U24" s="74" t="n"/>
      <c r="V24" s="74" t="n"/>
      <c r="W24" s="74" t="n"/>
    </row>
    <row r="25">
      <c r="A25" s="27" t="inlineStr">
        <is>
          <t>T21</t>
        </is>
      </c>
      <c r="B25" s="27" t="inlineStr">
        <is>
          <t>Phases 1 and 2</t>
        </is>
      </c>
      <c r="C25" s="72" t="inlineStr">
        <is>
          <t>Construction of Phases 1 and 2: grading, roads, utilities, fire water, bowl, stage, canopy, back-of-house, bathhouse, studio, the house, the maintenance building and staff unit</t>
        </is>
      </c>
      <c r="D25" s="27" t="inlineStr">
        <is>
          <t>2029-01</t>
        </is>
      </c>
      <c r="E25" s="27" t="inlineStr">
        <is>
          <t>2030-04</t>
        </is>
      </c>
      <c r="F25" s="27" t="inlineStr">
        <is>
          <t>T17</t>
        </is>
      </c>
      <c r="G25" s="27" t="inlineStr">
        <is>
          <t>Yes</t>
        </is>
      </c>
      <c r="H25" s="27" t="inlineStr">
        <is>
          <t>About 16 months for both phases at once; the research put Phase 1 alone at about 18 months (S28)</t>
        </is>
      </c>
      <c r="R25" s="73" t="n"/>
      <c r="S25" s="73" t="n"/>
      <c r="T25" s="73" t="n"/>
      <c r="U25" s="73" t="n"/>
      <c r="V25" s="73" t="n"/>
      <c r="W25" s="73" t="n"/>
    </row>
    <row r="26">
      <c r="A26" s="27" t="inlineStr">
        <is>
          <t>T22</t>
        </is>
      </c>
      <c r="B26" s="27" t="inlineStr">
        <is>
          <t>Phases 1 and 2</t>
        </is>
      </c>
      <c r="C26" s="27" t="inlineStr">
        <is>
          <t>Sound system design, prototyping, install and tuning (stage faces the view, speakers fire uphill)</t>
        </is>
      </c>
      <c r="D26" s="27" t="inlineStr">
        <is>
          <t>2027-10</t>
        </is>
      </c>
      <c r="E26" s="27" t="inlineStr">
        <is>
          <t>2030-04</t>
        </is>
      </c>
      <c r="F26" s="27" t="inlineStr">
        <is>
          <t>T08</t>
        </is>
      </c>
      <c r="G26" s="27" t="inlineStr"/>
      <c r="H26" s="27" t="inlineStr">
        <is>
          <t>Orientation decided on 13 Oct 2026</t>
        </is>
      </c>
      <c r="M26" s="74" t="n"/>
      <c r="N26" s="74" t="n"/>
      <c r="O26" s="74" t="n"/>
      <c r="P26" s="74" t="n"/>
      <c r="Q26" s="74" t="n"/>
      <c r="R26" s="74" t="n"/>
      <c r="S26" s="74" t="n"/>
      <c r="T26" s="74" t="n"/>
      <c r="U26" s="74" t="n"/>
      <c r="V26" s="74" t="n"/>
      <c r="W26" s="74" t="n"/>
    </row>
    <row r="27">
      <c r="A27" s="27" t="inlineStr">
        <is>
          <t>T23</t>
        </is>
      </c>
      <c r="B27" s="27" t="inlineStr">
        <is>
          <t>Phases 1 and 2</t>
        </is>
      </c>
      <c r="C27" s="27" t="inlineStr">
        <is>
          <t>Cabin order: all 12 (custom finish 4 to 6 months; 50% at order)</t>
        </is>
      </c>
      <c r="D27" s="27" t="inlineStr">
        <is>
          <t>2029-06</t>
        </is>
      </c>
      <c r="E27" s="27" t="inlineStr">
        <is>
          <t>2030-03</t>
        </is>
      </c>
      <c r="F27" s="27" t="inlineStr">
        <is>
          <t>T16, T17</t>
        </is>
      </c>
      <c r="G27" s="27" t="inlineStr"/>
      <c r="H27" s="27" t="inlineStr">
        <is>
          <t>Standard units 8 to 12 weeks; installed in about 4 hours each (S01, S02, S03)</t>
        </is>
      </c>
      <c r="S27" s="74" t="n"/>
      <c r="T27" s="74" t="n"/>
      <c r="U27" s="74" t="n"/>
      <c r="V27" s="74" t="n"/>
    </row>
    <row r="28">
      <c r="A28" s="27" t="inlineStr">
        <is>
          <t>T24</t>
        </is>
      </c>
      <c r="B28" s="27" t="inlineStr">
        <is>
          <t>Phases 1 and 2</t>
        </is>
      </c>
      <c r="C28" s="72" t="inlineStr">
        <is>
          <t>Phases 1 and 2 open: guest stays begin</t>
        </is>
      </c>
      <c r="D28" s="27" t="inlineStr">
        <is>
          <t>2030-05</t>
        </is>
      </c>
      <c r="E28" s="27" t="inlineStr">
        <is>
          <t>2030-05</t>
        </is>
      </c>
      <c r="F28" s="27" t="inlineStr">
        <is>
          <t>T21, T23</t>
        </is>
      </c>
      <c r="G28" s="27" t="inlineStr">
        <is>
          <t>Yes</t>
        </is>
      </c>
      <c r="H28" s="27" t="inlineStr">
        <is>
          <t>36 months from a May 2027 land contract (planning target, 14 Oct 2026). The Ojai research range is 42 to 108 months (S28)</t>
        </is>
      </c>
      <c r="W28" s="75" t="n"/>
    </row>
    <row r="29">
      <c r="A29" s="27" t="inlineStr">
        <is>
          <t>T25</t>
        </is>
      </c>
      <c r="B29" s="27" t="inlineStr">
        <is>
          <t>Phases 1 and 2</t>
        </is>
      </c>
      <c r="C29" s="27" t="inlineStr">
        <is>
          <t>First residency season and performances (amplified sound off by 10 pm)</t>
        </is>
      </c>
      <c r="D29" s="27" t="inlineStr">
        <is>
          <t>2030-05</t>
        </is>
      </c>
      <c r="E29" s="27" t="inlineStr">
        <is>
          <t>2030-10</t>
        </is>
      </c>
      <c r="F29" s="27" t="inlineStr">
        <is>
          <t>T24</t>
        </is>
      </c>
      <c r="G29" s="27" t="inlineStr"/>
      <c r="H29" s="27" t="inlineStr"/>
      <c r="W29" s="74" t="n"/>
      <c r="X29" s="74" t="n"/>
      <c r="Y29" s="74" t="n"/>
    </row>
    <row r="30">
      <c r="A30" s="27" t="inlineStr">
        <is>
          <t>T26</t>
        </is>
      </c>
      <c r="B30" s="27" t="inlineStr">
        <is>
          <t>Phase 3</t>
        </is>
      </c>
      <c r="C30" s="27" t="inlineStr">
        <is>
          <t>Gallery barn design: the listening room, the gallery rooms and the commercial kitchen</t>
        </is>
      </c>
      <c r="D30" s="27" t="inlineStr">
        <is>
          <t>2030-01</t>
        </is>
      </c>
      <c r="E30" s="27" t="inlineStr">
        <is>
          <t>2030-09</t>
        </is>
      </c>
      <c r="F30" s="27" t="inlineStr">
        <is>
          <t>T14</t>
        </is>
      </c>
      <c r="G30" s="27" t="inlineStr"/>
      <c r="H30" s="27" t="inlineStr">
        <is>
          <t>Phase 3 work starts in 2030 (planning target, 14 Oct 2026)</t>
        </is>
      </c>
      <c r="V30" s="74" t="n"/>
      <c r="W30" s="74" t="n"/>
      <c r="X30" s="74" t="n"/>
    </row>
    <row r="31">
      <c r="A31" s="27" t="inlineStr">
        <is>
          <t>T27</t>
        </is>
      </c>
      <c r="B31" s="27" t="inlineStr">
        <is>
          <t>Phase 3</t>
        </is>
      </c>
      <c r="C31" s="72" t="inlineStr">
        <is>
          <t>Gallery building permits (under the master camp permit)</t>
        </is>
      </c>
      <c r="D31" s="27" t="inlineStr">
        <is>
          <t>2030-07</t>
        </is>
      </c>
      <c r="E31" s="27" t="inlineStr">
        <is>
          <t>2030-12</t>
        </is>
      </c>
      <c r="F31" s="27" t="inlineStr">
        <is>
          <t>T26</t>
        </is>
      </c>
      <c r="G31" s="27" t="inlineStr">
        <is>
          <t>Yes</t>
        </is>
      </c>
      <c r="H31" s="27" t="inlineStr"/>
      <c r="X31" s="73" t="n"/>
      <c r="Y31" s="73" t="n"/>
    </row>
    <row r="32">
      <c r="A32" s="27" t="inlineStr">
        <is>
          <t>T28</t>
        </is>
      </c>
      <c r="B32" s="27" t="inlineStr">
        <is>
          <t>Phase 3</t>
        </is>
      </c>
      <c r="C32" s="72" t="inlineStr">
        <is>
          <t>Gallery barn construction and its kitchen</t>
        </is>
      </c>
      <c r="D32" s="27" t="inlineStr">
        <is>
          <t>2031-01</t>
        </is>
      </c>
      <c r="E32" s="27" t="inlineStr">
        <is>
          <t>2032-04</t>
        </is>
      </c>
      <c r="F32" s="27" t="inlineStr">
        <is>
          <t>T27</t>
        </is>
      </c>
      <c r="G32" s="27" t="inlineStr">
        <is>
          <t>Yes</t>
        </is>
      </c>
      <c r="H32" s="27" t="inlineStr">
        <is>
          <t>12 to 18 months (S22)</t>
        </is>
      </c>
      <c r="Z32" s="73" t="n"/>
      <c r="AA32" s="73" t="n"/>
      <c r="AB32" s="73" t="n"/>
      <c r="AC32" s="73" t="n"/>
      <c r="AD32" s="73" t="n"/>
      <c r="AE32" s="73" t="n"/>
    </row>
    <row r="33">
      <c r="A33" s="27" t="inlineStr">
        <is>
          <t>T29</t>
        </is>
      </c>
      <c r="B33" s="27" t="inlineStr">
        <is>
          <t>Phase 3</t>
        </is>
      </c>
      <c r="C33" s="27" t="inlineStr">
        <is>
          <t>Landscaping and artwork: the rest of the planting and the commissioned works</t>
        </is>
      </c>
      <c r="D33" s="27" t="inlineStr">
        <is>
          <t>2030-05</t>
        </is>
      </c>
      <c r="E33" s="27" t="inlineStr">
        <is>
          <t>2032-04</t>
        </is>
      </c>
      <c r="F33" s="27" t="inlineStr">
        <is>
          <t>T24</t>
        </is>
      </c>
      <c r="G33" s="27" t="inlineStr"/>
      <c r="H33" s="27" t="inlineStr">
        <is>
          <t>A major commission takes 1 to 3 years from brief to install</t>
        </is>
      </c>
      <c r="W33" s="74" t="n"/>
      <c r="X33" s="74" t="n"/>
      <c r="Y33" s="74" t="n"/>
      <c r="Z33" s="74" t="n"/>
      <c r="AA33" s="74" t="n"/>
      <c r="AB33" s="74" t="n"/>
      <c r="AC33" s="74" t="n"/>
      <c r="AD33" s="74" t="n"/>
      <c r="AE33" s="74" t="n"/>
    </row>
    <row r="34">
      <c r="A34" s="27" t="inlineStr">
        <is>
          <t>T30</t>
        </is>
      </c>
      <c r="B34" s="27" t="inlineStr">
        <is>
          <t>Phase 3</t>
        </is>
      </c>
      <c r="C34" s="72" t="inlineStr">
        <is>
          <t>Gallery opens</t>
        </is>
      </c>
      <c r="D34" s="27" t="inlineStr">
        <is>
          <t>2032-05</t>
        </is>
      </c>
      <c r="E34" s="27" t="inlineStr">
        <is>
          <t>2032-05</t>
        </is>
      </c>
      <c r="F34" s="27" t="inlineStr">
        <is>
          <t>T28</t>
        </is>
      </c>
      <c r="G34" s="27" t="inlineStr">
        <is>
          <t>Yes</t>
        </is>
      </c>
      <c r="H34" s="27" t="inlineStr">
        <is>
          <t>Two years after Phases 1 and 2 (planning target, 14 Oct 2026); stress case 2033</t>
        </is>
      </c>
      <c r="AE34" s="75" t="n"/>
    </row>
  </sheetData>
  <pageMargins left="0.75" right="0.75" top="1" bottom="1" header="0.5" footer="0.5"/>
  <pageSetup orientation="landscape" fitToWidth="1"/>
</worksheet>
</file>

<file path=xl/worksheets/sheet11.xml><?xml version="1.0" encoding="utf-8"?>
<worksheet xmlns="http://schemas.openxmlformats.org/spreadsheetml/2006/main">
  <sheetPr>
    <outlinePr summaryBelow="1" summaryRight="1"/>
    <pageSetUpPr fitToPage="1"/>
  </sheetPr>
  <dimension ref="A1:E34"/>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6" customWidth="1" min="1" max="1"/>
    <col width="90" customWidth="1" min="2" max="2"/>
    <col width="70" customWidth="1" min="3" max="3"/>
    <col width="26" customWidth="1" min="4" max="4"/>
    <col width="16" customWidth="1" min="5" max="5"/>
  </cols>
  <sheetData>
    <row r="1">
      <c r="A1" s="1" t="inlineStr">
        <is>
          <t>Bastion  -  Sources</t>
        </is>
      </c>
    </row>
    <row r="2">
      <c r="A2" s="2" t="inlineStr">
        <is>
          <t>Research = cited (URL and date read). Our planning targets of 14 Oct 2026 are S29. Everything else on the Assumptions sheet is labeled assumption or draft.</t>
        </is>
      </c>
    </row>
    <row r="4">
      <c r="A4" s="3" t="inlineStr">
        <is>
          <t>ID</t>
        </is>
      </c>
      <c r="B4" s="4" t="inlineStr">
        <is>
          <t>What it says</t>
        </is>
      </c>
      <c r="C4" s="4" t="inlineStr">
        <is>
          <t>URL</t>
        </is>
      </c>
      <c r="D4" s="4" t="inlineStr">
        <is>
          <t>Read</t>
        </is>
      </c>
      <c r="E4" s="4" t="inlineStr">
        <is>
          <t>Type</t>
        </is>
      </c>
    </row>
    <row r="5">
      <c r="A5" s="27" t="inlineStr">
        <is>
          <t>S01</t>
        </is>
      </c>
      <c r="B5" s="27" t="inlineStr">
        <is>
          <t>arhome by Arcana, homepage: "Prices from USD 125,000" (CAD 170,000), delivered fully assembled within 8 to 12 weeks</t>
        </is>
      </c>
      <c r="C5" s="27" t="inlineStr">
        <is>
          <t>https://findarhome.com</t>
        </is>
      </c>
      <c r="D5" s="27" t="inlineStr">
        <is>
          <t>read 2026-10-13</t>
        </is>
      </c>
      <c r="E5" s="27" t="inlineStr">
        <is>
          <t>vendor</t>
        </is>
      </c>
    </row>
    <row r="6">
      <c r="A6" s="27" t="inlineStr">
        <is>
          <t>S02</t>
        </is>
      </c>
      <c r="B6" s="27" t="inlineStr">
        <is>
          <t>arhome FAQ: built in Burlington, Ontario; Intertek certifies units for US use state by state; custom design, build and delivery 4 to 6 months; installed within 4 hours of arrival; up to 14 ft wide, 40 ft long, 10 ft high; off-grid units built</t>
        </is>
      </c>
      <c r="C6" s="27" t="inlineStr">
        <is>
          <t>https://findarhome.com/faq</t>
        </is>
      </c>
      <c r="D6" s="27" t="inlineStr">
        <is>
          <t>read 2026-10-13</t>
        </is>
      </c>
      <c r="E6" s="27" t="inlineStr">
        <is>
          <t>vendor</t>
        </is>
      </c>
    </row>
    <row r="7">
      <c r="A7" s="27" t="inlineStr">
        <is>
          <t>S03</t>
        </is>
      </c>
      <c r="B7" s="27" t="inlineStr">
        <is>
          <t>Our brief to this specialist (2026-10-13): payment 50% at order, 40% on completion, 10% on delivery; all fixed items included; trailer or crane install onto a foundation; cedar, corten or mirrored exterior; red oak interior, heated floors, AC, Sonos, kitchenette, rainfall shower</t>
        </is>
      </c>
      <c r="C7" s="27" t="inlineStr"/>
      <c r="D7" s="27" t="inlineStr">
        <is>
          <t>owner brief; payment terms not on the public pages</t>
        </is>
      </c>
      <c r="E7" s="27" t="inlineStr">
        <is>
          <t>owner</t>
        </is>
      </c>
    </row>
    <row r="8">
      <c r="A8" s="27" t="inlineStr">
        <is>
          <t>S04</t>
        </is>
      </c>
      <c r="B8" s="27" t="inlineStr">
        <is>
          <t>BD+C, "Hotel construction costs for 2025" (Gordian RSMeans data, Apr 17, 2025): 15-storey hotel per sf, national USD 261.76, Los Angeles 302.98, New York 334.95</t>
        </is>
      </c>
      <c r="C8" s="27" t="inlineStr">
        <is>
          <t>https://www.bdcnetwork.com/home/news/55284085/hotel-construction-costs-for-2025</t>
        </is>
      </c>
      <c r="D8" s="27" t="inlineStr">
        <is>
          <t>read 2026-10-13</t>
        </is>
      </c>
      <c r="E8" s="27" t="inlineStr">
        <is>
          <t>cost data</t>
        </is>
      </c>
    </row>
    <row r="9">
      <c r="A9" s="27" t="inlineStr">
        <is>
          <t>S05</t>
        </is>
      </c>
      <c r="B9" s="27" t="inlineStr">
        <is>
          <t>Headwaters Economics and IBHS: wildfire-resistant new construction costs about 2 to 3% more; Chapter 7A premium about USD 13,000 on a USD 500,000 Southern California home</t>
        </is>
      </c>
      <c r="C9" s="27" t="inlineStr">
        <is>
          <t>https://headwaterseconomics.org/natural-hazards/wildfire/construction-costs-for-wildfire-resistant-homes/ ; https://ibhs.org/ibhs-news-releases/new-headwaters-economics-ibhs-study-analyzes-costs-of-wildfire-resistant-construction-in-california/</t>
        </is>
      </c>
      <c r="D9" s="27" t="inlineStr">
        <is>
          <t>search summary 2026-10-13</t>
        </is>
      </c>
      <c r="E9" s="27" t="inlineStr">
        <is>
          <t>research nonprofit</t>
        </is>
      </c>
    </row>
    <row r="10">
      <c r="A10" s="27" t="inlineStr">
        <is>
          <t>S06</t>
        </is>
      </c>
      <c r="B10" s="27" t="inlineStr">
        <is>
          <t>California Energy Commission, 2025 Energy Code: applies to permit applications from Jan 1, 2026; PV and battery requirements for nonresidential buildings; electric-ready commercial kitchens</t>
        </is>
      </c>
      <c r="C10" s="27" t="inlineStr">
        <is>
          <t>https://www.energy.ca.gov/programs-and-topics/programs/building-energy-efficiency-standards/blueprint-newsletter/blueprint-2 ; https://www.energy.ca.gov/sites/default/files/2025-06/2025_Energy_Code_Overview_ADA.pdf</t>
        </is>
      </c>
      <c r="D10" s="27" t="inlineStr">
        <is>
          <t>search summary 2026-10-13</t>
        </is>
      </c>
      <c r="E10" s="27" t="inlineStr">
        <is>
          <t>government</t>
        </is>
      </c>
    </row>
    <row r="11">
      <c r="A11" s="27" t="inlineStr">
        <is>
          <t>S07</t>
        </is>
      </c>
      <c r="B11" s="27" t="inlineStr">
        <is>
          <t>Ojai land listings, 2026 asking: 10331 Sulphur Mountain Rd about 63 ac USD 800,000; -1 Sulphur Mountain Rd 52 ac USD 1.85M; 0 Maricopa Hwy about 49 ac USD 1.95M; 16825 Maricopa Hwy (Wheeler Hot Springs) 59.12 ac USD 2.995M, open space zoning; 12400 Ojai Santa Paula Rd about 70 ac orchard USD 2.15M</t>
        </is>
      </c>
      <c r="C11" s="27" t="inlineStr">
        <is>
          <t>https://bunny2026.roveridx.com/ca/ojai/upper-ojai-other--0012/10331-sulphur-mountain-rd ; https://bunny2026.roveridx.com/ca/ojai/-1-sulphur-mountain-rd ; https://www.landbrokermls.com/property/999273975/49-acres-of-land-for-sale-in-ojai-ca ; https://www.landbrokermls.com/property/348185942/59-12-acres-of-land-for-sale-in-ojai-ca ; https://regents.com/us/ca/ojai/12400-ojai-santa-paula-road/5n1kz</t>
        </is>
      </c>
      <c r="D11" s="27" t="inlineStr">
        <is>
          <t>search index 2026-10-13; asking prices, confirm with a broker</t>
        </is>
      </c>
      <c r="E11" s="27" t="inlineStr">
        <is>
          <t>listings</t>
        </is>
      </c>
    </row>
    <row r="12">
      <c r="A12" s="27" t="inlineStr">
        <is>
          <t>S08</t>
        </is>
      </c>
      <c r="B12" s="27" t="inlineStr">
        <is>
          <t>Ventura County Auditor-Controller, 2025-26 tax rate book, TRA 02001 Ojai: 1.086629% (1% general levy plus Ojai Unified, community college and Casitas MWD bonds)</t>
        </is>
      </c>
      <c r="C12" s="27" t="inlineStr">
        <is>
          <t>https://vcportal.venturacounty.gov/auditor/docs/property-tax-reports/tax-rates/2025-2026/TRAs%2002000-02019%20Ojai.pdf</t>
        </is>
      </c>
      <c r="D12" s="27" t="inlineStr">
        <is>
          <t>search summary 2026-10-13; verify the parcel TRA</t>
        </is>
      </c>
      <c r="E12" s="27" t="inlineStr">
        <is>
          <t>government</t>
        </is>
      </c>
    </row>
    <row r="13">
      <c r="A13" s="27" t="inlineStr">
        <is>
          <t>S09</t>
        </is>
      </c>
      <c r="B13" s="27" t="inlineStr">
        <is>
          <t>Documentary transfer tax: county rate USD 1.10 per USD 1,000 (Rev. and Tax. Code 11911); Ventura County recorder USD 0.55 per 500. City of Ojai rate not confirmed</t>
        </is>
      </c>
      <c r="C13" s="27" t="inlineStr">
        <is>
          <t>https://www.deeds.com/recorder/california/ventura/ ; https://wfgtitle.com/california-documentary-and-property-transfer-tax-rates/</t>
        </is>
      </c>
      <c r="D13" s="27" t="inlineStr">
        <is>
          <t>search summary 2026-10-13</t>
        </is>
      </c>
      <c r="E13" s="27" t="inlineStr">
        <is>
          <t>secondary</t>
        </is>
      </c>
    </row>
    <row r="14">
      <c r="A14" s="27" t="inlineStr">
        <is>
          <t>S10</t>
        </is>
      </c>
      <c r="B14" s="27" t="inlineStr">
        <is>
          <t>Transient occupancy tax: Ventura County Treasurer-Tax Collector, 8% in the unincorporated area; Ojai Valley News, Measure C (2020) raised the City of Ojai TOT from 10% to 15%</t>
        </is>
      </c>
      <c r="C14" s="27" t="inlineStr">
        <is>
          <t>https://venturacounty.gov/ttc/?p=182 ; https://www.ojaivalleynews.com/news/government/ojai-council-denies-tax-assessment-appeal-by-local-hotelier/article_944de1aa-e5c2-4c0c-8c27-831d5079681c.html</t>
        </is>
      </c>
      <c r="D14" s="27" t="inlineStr">
        <is>
          <t>search summary 2026-10-13</t>
        </is>
      </c>
      <c r="E14" s="27" t="inlineStr">
        <is>
          <t>government, local press</t>
        </is>
      </c>
    </row>
    <row r="15">
      <c r="A15" s="27" t="inlineStr">
        <is>
          <t>S11</t>
        </is>
      </c>
      <c r="B15" s="27" t="inlineStr">
        <is>
          <t>US Bureau of Labor Statistics, OEWS May 2025: Oxnard-Thousand Oaks-Ventura MSA (area 37100). Series pulled via api.bls.gov</t>
        </is>
      </c>
      <c r="C15" s="27" t="inlineStr">
        <is>
          <t>https://www.bls.gov/oes/current/oes_37100.htm</t>
        </is>
      </c>
      <c r="D15" s="27" t="inlineStr">
        <is>
          <t>pulled 2026-10-13</t>
        </is>
      </c>
      <c r="E15" s="27" t="inlineStr">
        <is>
          <t>government</t>
        </is>
      </c>
    </row>
    <row r="16">
      <c r="A16" s="27" t="inlineStr">
        <is>
          <t>S12</t>
        </is>
      </c>
      <c r="B16" s="27" t="inlineStr">
        <is>
          <t>Ojai hotel rates: Ojai Valley Inn guest-reported averages USD 695 (Feb 2026) and 1,019 (spring 2025) per night, USD 769 before tax on a December listing; USC Lusk Center 2026 retreat group rate USD 389++ plus 15.195% room tax; Ojai Rancho Inn from about USD 201 to 246 incl. taxes (2026); Caravan Outpost about USD 144 to 209 before taxes; Ojai Retreat &amp; Inn about USD 141 to 180</t>
        </is>
      </c>
      <c r="C16" s="27" t="inlineStr">
        <is>
          <t>https://www.hotelplanner.com/Hotels/20254/Reservations-Ojai-Valley-Inn-Spa-Ojai-905-Country-Club-Rd-93023 ; https://lusk.usc.edu/node/9255 ; https://www.travelocity.com/Ojai-Hotels-Ojai-Rancho-Inn.h532535.Hotel-Information ; https://www.kayak.com/Ojai-Hotels-Caravan-Outpost.2690780.ksp</t>
        </is>
      </c>
      <c r="D16" s="27" t="inlineStr">
        <is>
          <t>search summaries 2026-10-13; booking snapshots</t>
        </is>
      </c>
      <c r="E16" s="27" t="inlineStr">
        <is>
          <t>booking sites</t>
        </is>
      </c>
    </row>
    <row r="17">
      <c r="A17" s="27" t="inlineStr">
        <is>
          <t>S13</t>
        </is>
      </c>
      <c r="B17" s="27" t="inlineStr">
        <is>
          <t>Ojai short-term rental market: Rabbu (Apr 2026) ADR USD 465, occupancy 39%, 90 listings; AirDNA ADR USD 489, occupancy 55%</t>
        </is>
      </c>
      <c r="C17" s="27" t="inlineStr">
        <is>
          <t>https://rabbu.com/airbnb-data/ojai-ca ; https://airdna.co/vacation-rental-data/app/us/california/ojai/overview</t>
        </is>
      </c>
      <c r="D17" s="27" t="inlineStr">
        <is>
          <t>search summary 2026-10-13</t>
        </is>
      </c>
      <c r="E17" s="27" t="inlineStr">
        <is>
          <t>data vendors</t>
        </is>
      </c>
    </row>
    <row r="18">
      <c r="A18" s="27" t="inlineStr">
        <is>
          <t>S14</t>
        </is>
      </c>
      <c r="B18" s="27" t="inlineStr">
        <is>
          <t>Forest Home Ojai Valley, 2026 group retreat rates: USD 229 per person for one night with three meals to USD 609 for six nights with 17 meals</t>
        </is>
      </c>
      <c r="C18" s="27" t="inlineStr">
        <is>
          <t>https://www.foresthome.org/guest-group/ojai/</t>
        </is>
      </c>
      <c r="D18" s="27" t="inlineStr">
        <is>
          <t>search summary 2026-10-13</t>
        </is>
      </c>
      <c r="E18" s="27" t="inlineStr">
        <is>
          <t>venue</t>
        </is>
      </c>
    </row>
    <row r="19">
      <c r="A19" s="27" t="inlineStr">
        <is>
          <t>S15</t>
        </is>
      </c>
      <c r="B19" s="27" t="inlineStr">
        <is>
          <t>County of Ventura, Planning Director staff report, Ojai Retreat Minor Modification to CUP 3527, Case PL21-0018 (June 9, 2022): retreat standards NCZO 8107-18 (sleeping for no more than 20 people incl. staff; 200 sf per guest; other buildings 2,000 sf maximum; 25 ft height; 5 acre minimum); monthly events up to 80 day guests, weekly up to 40, special events of 80 to 150 people up to four times a year; amplified sound ends 10 pm; 50 dB(A) Leq1H at sensitive receptors (General Plan HAZ-9.2)</t>
        </is>
      </c>
      <c r="C19" s="27" t="inlineStr">
        <is>
          <t>https://rma.venturacounty.gov/wp-content/uploads/2024/07/ojai-retreat-minor-modification-conditional-use-permit.pdf</t>
        </is>
      </c>
      <c r="D19" s="27" t="inlineStr">
        <is>
          <t>read 2026-10-13; copy in the Ojai specialist folder</t>
        </is>
      </c>
      <c r="E19" s="27" t="inlineStr">
        <is>
          <t>government</t>
        </is>
      </c>
    </row>
    <row r="20">
      <c r="A20" s="27" t="inlineStr">
        <is>
          <t>S16</t>
        </is>
      </c>
      <c r="B20" s="27" t="inlineStr">
        <is>
          <t>County of Ventura, NCZO Outdoor Event Regulations FAQ (Dec 19, 2022), Sec. 8107-46: exempt if 75 or fewer attendees on lots under 250 acres; lots of 5 to 249 acres may hold 5 events a year of 76 to 250 attendees; 250+ acres: unlimited events of up to 100 and 10 a year of 101 to 350; events 8 am to 10 pm, amplified sound 10 am to 10 pm; no permanent structures under this section; Fire District sign-off in hazardous fire areas</t>
        </is>
      </c>
      <c r="C20" s="27" t="inlineStr">
        <is>
          <t>https://rma.venturacounty.gov/wp-content/uploads/2024/04/non-coastal-zoning-ordinance-outdoor-event-regulations.pdf</t>
        </is>
      </c>
      <c r="D20" s="27" t="inlineStr">
        <is>
          <t>read 2026-10-13; copy in the Ojai specialist folder</t>
        </is>
      </c>
      <c r="E20" s="27" t="inlineStr">
        <is>
          <t>government</t>
        </is>
      </c>
    </row>
    <row r="21">
      <c r="A21" s="27" t="inlineStr">
        <is>
          <t>S17</t>
        </is>
      </c>
      <c r="B21" s="27" t="inlineStr">
        <is>
          <t>Ojai Valley camp entitlements: Krishnamurti Foundation of America, Major Modification to CUP 3697, Case PL17-0012 (MND notice May 5, 2022; advisory committee review May 2022; appealed by the East End Neighborhood Association, Board of Supervisors hearing Feb 25, 2025). Camp Ramah, Major Modification to CUP 3048, Case PL18-0052 (MND Apr 2022, recirculated May 2022; Notice of Determination posted Oct 1, 2025)</t>
        </is>
      </c>
      <c r="C21" s="27" t="inlineStr">
        <is>
          <t>https://ceqanet.lci.ca.gov/2022050013 ; https://vcportal.ventura.org/BOS/District1/docs/OVMAC/2022/OVMAC_2022-05-25_Agenda_with_audio_link.pdf ; https://rmadocs.venturacounty.gov/planning/hearings/tentative-hearings-schedule/publications/2025-02-07-planning-division-tentative-hearing-schedule.pdf ; https://ceqanet.lci.ca.gov/2022040478</t>
        </is>
      </c>
      <c r="D21" s="27" t="inlineStr">
        <is>
          <t>search summaries and county documents 2026-10-13</t>
        </is>
      </c>
      <c r="E21" s="27" t="inlineStr">
        <is>
          <t>government</t>
        </is>
      </c>
    </row>
    <row r="22">
      <c r="A22" s="27" t="inlineStr">
        <is>
          <t>S18</t>
        </is>
      </c>
      <c r="B22" s="27" t="inlineStr">
        <is>
          <t>Insurance: California Department of Insurance (Mar 28, 2025) FAIR Plan commercial limits raised to USD 20M per building, USD 100M per location; Insurance Journal (Jul 2025) commercial high-value policy; FAIR Plan dwelling rates +29.1% from Oct 15, 2026; CHLA (2024) commercial property premiums up over 18%; Spectrum News (2023) a Nevada County hotel in a very high fire zone saw its FAIR Plan renewal rise to USD 33,491 from under USD 11,000</t>
        </is>
      </c>
      <c r="C22" s="27" t="inlineStr">
        <is>
          <t>https://www.insurance.ca.gov/0400-news/0102-alerts/2025/upload/032825-Commissioner-Lara-approves-major-FAIR-Plan-expansion-to-help-HOAs-builders-farmers-and-businesses-access-insurance-coverage.pdf ; https://amp.insurancejournal.com/news/west/2025/07/25/833310.htm ; https://insurancenewsnet.com/oarticle/california-fair-plan-rates-going-up-29-1-in-late-2026 ; https://spectrumnews1.com/ca/la/environment/2023/07/25/wildfires-drive-up-property-insurance--threatening-mom-n-pop-businesses</t>
        </is>
      </c>
      <c r="D22" s="27" t="inlineStr">
        <is>
          <t>search summaries 2026-10-13</t>
        </is>
      </c>
      <c r="E22" s="27" t="inlineStr">
        <is>
          <t>government, trade, press</t>
        </is>
      </c>
    </row>
    <row r="23">
      <c r="A23" s="27" t="inlineStr">
        <is>
          <t>S19</t>
        </is>
      </c>
      <c r="B23" s="27" t="inlineStr">
        <is>
          <t>Modular transport cost guides: USD 2.50 to 15 per mile plus escorts USD 1 to 2.50 per mile; California maximum permit width 14 ft</t>
        </is>
      </c>
      <c r="C23" s="27" t="inlineStr">
        <is>
          <t>https://new.risingsunartscentre.org/news/cost-to-transport-a-modular-home-price-guide-and-estimates-2026.html ; https://oversize.io/regulations/manufactured-homes-moving</t>
        </is>
      </c>
      <c r="D23" s="27" t="inlineStr">
        <is>
          <t>search summary 2026-10-13</t>
        </is>
      </c>
      <c r="E23" s="27" t="inlineStr">
        <is>
          <t>cost guides, low reliability</t>
        </is>
      </c>
    </row>
    <row r="24">
      <c r="A24" s="27" t="inlineStr">
        <is>
          <t>S20</t>
        </is>
      </c>
      <c r="B24" s="27" t="inlineStr">
        <is>
          <t>Tariffs: Section 232 wood products from Oct 14, 2025 (10% softwood lumber; 25% cabinets and upholstered furniture); HTS 9406 prefabricated buildings MFN 2.6 to 2.9%; Section 232 steel derivative duties may apply to steel content. Coverage of 9406 and USMCA treatment not verified</t>
        </is>
      </c>
      <c r="C24" s="27" t="inlineStr">
        <is>
          <t>https://www.clarkhill.com/news-events/news/u-s-expands-section-232-tariffs-to-wood-products ; https://tariffsapi.com/hts/9406</t>
        </is>
      </c>
      <c r="D24" s="27" t="inlineStr">
        <is>
          <t>search summary 2026-10-13</t>
        </is>
      </c>
      <c r="E24" s="27" t="inlineStr">
        <is>
          <t>legal commentary, aggregator</t>
        </is>
      </c>
    </row>
    <row r="25">
      <c r="A25" s="27" t="inlineStr">
        <is>
          <t>S21</t>
        </is>
      </c>
      <c r="B25" s="27" t="inlineStr">
        <is>
          <t>Finance specialist: Bastion - Costs, Economics &amp; Structure and finance/deck.json (Northeast benchmarks, operating model, Form 990 benchmarks, structure options)</t>
        </is>
      </c>
      <c r="C25" s="27" t="inlineStr">
        <is>
          <t>vault 08_RESEARCH/_Active/bastion/</t>
        </is>
      </c>
      <c r="D25" s="27" t="inlineStr">
        <is>
          <t>2026-10-13</t>
        </is>
      </c>
      <c r="E25" s="27" t="inlineStr">
        <is>
          <t>specialist</t>
        </is>
      </c>
    </row>
    <row r="26">
      <c r="A26" s="27" t="inlineStr">
        <is>
          <t>S22</t>
        </is>
      </c>
      <c r="B26" s="27" t="inlineStr">
        <is>
          <t>Architecture specialist: architecture/deck.json (program, square footage, cost lines, phasing, durations)</t>
        </is>
      </c>
      <c r="C26" s="27" t="inlineStr">
        <is>
          <t>scratchpad/bastion/architecture/deck.json</t>
        </is>
      </c>
      <c r="D26" s="27" t="inlineStr">
        <is>
          <t>2026-10-13</t>
        </is>
      </c>
      <c r="E26" s="27" t="inlineStr">
        <is>
          <t>specialist</t>
        </is>
      </c>
    </row>
    <row r="27">
      <c r="A27" s="27" t="inlineStr">
        <is>
          <t>S23</t>
        </is>
      </c>
      <c r="B27" s="27" t="inlineStr">
        <is>
          <t>Sound specialist: sound/deck.json (system options, studio gear tiers, instruments, gallery AV)</t>
        </is>
      </c>
      <c r="C27" s="27" t="inlineStr">
        <is>
          <t>scratchpad/bastion/sound/deck.json</t>
        </is>
      </c>
      <c r="D27" s="27" t="inlineStr">
        <is>
          <t>2026-10-13</t>
        </is>
      </c>
      <c r="E27" s="27" t="inlineStr">
        <is>
          <t>specialist</t>
        </is>
      </c>
    </row>
    <row r="28">
      <c r="A28" s="27" t="inlineStr">
        <is>
          <t>S24</t>
        </is>
      </c>
      <c r="B28" s="27" t="inlineStr">
        <is>
          <t>Hospitality specialist: hospitality/deck.json and page (formats, pricing benchmarks, staffing, calendar, Arcana rates)</t>
        </is>
      </c>
      <c r="C28" s="27" t="inlineStr">
        <is>
          <t>scratchpad/bastion/hospitality/deck.json</t>
        </is>
      </c>
      <c r="D28" s="27" t="inlineStr">
        <is>
          <t>2026-10-13</t>
        </is>
      </c>
      <c r="E28" s="27" t="inlineStr">
        <is>
          <t>specialist</t>
        </is>
      </c>
    </row>
    <row r="29">
      <c r="A29" s="27" t="inlineStr">
        <is>
          <t>S25</t>
        </is>
      </c>
      <c r="B29" s="27" t="inlineStr">
        <is>
          <t>Programming specialist: programming/deck.json (residency model, year one, program budget, year-zero pilot)</t>
        </is>
      </c>
      <c r="C29" s="27" t="inlineStr">
        <is>
          <t>scratchpad/bastion/programming/deck.json</t>
        </is>
      </c>
      <c r="D29" s="27" t="inlineStr">
        <is>
          <t>2026-10-13</t>
        </is>
      </c>
      <c r="E29" s="27" t="inlineStr">
        <is>
          <t>specialist</t>
        </is>
      </c>
    </row>
    <row r="30">
      <c r="A30" s="27" t="inlineStr">
        <is>
          <t>S26</t>
        </is>
      </c>
      <c r="B30" s="27" t="inlineStr">
        <is>
          <t>Curator specialist: curator/deck.json (collection, fit-out, commissions, gallery operations)</t>
        </is>
      </c>
      <c r="C30" s="27" t="inlineStr">
        <is>
          <t>scratchpad/bastion/curator/deck.json</t>
        </is>
      </c>
      <c r="D30" s="27" t="inlineStr">
        <is>
          <t>2026-10-13</t>
        </is>
      </c>
      <c r="E30" s="27" t="inlineStr">
        <is>
          <t>specialist</t>
        </is>
      </c>
    </row>
    <row r="31">
      <c r="A31" s="27" t="inlineStr">
        <is>
          <t>S27</t>
        </is>
      </c>
      <c r="B31" s="27" t="inlineStr">
        <is>
          <t>Land specialist: Bastion - Land, Permits &amp; Development (due diligence and approval steps, durations, costs)</t>
        </is>
      </c>
      <c r="C31" s="27" t="inlineStr">
        <is>
          <t>vault 08_RESEARCH/_Active/bastion/</t>
        </is>
      </c>
      <c r="D31" s="27" t="inlineStr">
        <is>
          <t>2026-10-13</t>
        </is>
      </c>
      <c r="E31" s="27" t="inlineStr">
        <is>
          <t>specialist</t>
        </is>
      </c>
    </row>
    <row r="32">
      <c r="A32" s="27" t="inlineStr">
        <is>
          <t>S28</t>
        </is>
      </c>
      <c r="B32" s="27" t="inlineStr">
        <is>
          <t>Ojai zoning specialist: Bastion - Ojai Zoning, Permits &amp; Land and ojai/deck.json. Camp CUP in RA zones (Planning Commission; 10 acre minimum; 2.56 overnight and 5.12 daily people per acre); Temporary Rental Unit overlay bans rentals under 30 days across the Ojai Valley; Dark Sky lights off 10 pm; Scenic Resource Protection discourages reflective materials; pre-construction approvals about USD 0.35M to 2M; contract to opening 42 to 108 months; location factor 1.15 to 1.35 vs the rural Northeast; building permit fees about 2.2 to 2.7% of construction value; school fees up to USD 5.38 (residential) and 0.87 (commercial) per sf; Casitas capital facilities charge USD 18,644 per acre-foot; HCD factory-built approval USD 25k to 100k; installed cabins USD 250k to 450k; raw view land USD 4,000 to 55,000 per acre; property tax 1.0826 to 1.0866%</t>
        </is>
      </c>
      <c r="C32" s="27" t="inlineStr">
        <is>
          <t>vault 08_RESEARCH/_Active/bastion/ ; primary sources it cites include https://rmadocs.venturacounty.gov/planning/ordinances/non-coastal-zoning/ventura-county-non-coastal-zoning-ordinance.pdf ; https://rmadocs.venturacounty.gov/building-and-safety/fees/building-and-safety-fee-schedule.pdf ; https://www.casitaswater.org/files/769954c0c/2023+Rates+and+Regulations+Adopted+03.22.2023+LastRev+11.12.2025.pdf</t>
        </is>
      </c>
      <c r="D32" s="27" t="inlineStr">
        <is>
          <t>2026-10-13</t>
        </is>
      </c>
      <c r="E32" s="27" t="inlineStr">
        <is>
          <t>specialist (county code and fee schedules)</t>
        </is>
      </c>
    </row>
    <row r="33">
      <c r="A33" s="27" t="inlineStr">
        <is>
          <t>S29</t>
        </is>
      </c>
      <c r="B33" s="27" t="inlineStr">
        <is>
          <t>Planning targets set by Better Together (14 Oct 2026): land 5 to 50 acres at USD 1M to 2M; amphitheater USD 3M; sound system USD 1M; studio USD 2M; gear USD 1M; 12 cabins at USD 300,000 each; bathhouse USD 500,000; gallery USD 2M; art and installations USD 1M; a line for landscaping and artwork at USD 1M. Restated 14 Oct 2026 (night) and 15 Oct 2026: price the sauna, cold plunge and hot tub at USD 500,000; studio 2,500 sf; the listening room and gallery as a 3,000 sf barn with a commercial kitchen; a 3,000 sf residence and home; a very simple maintenance building with one staff unit at USD 500,000; no cost for the gallery's contents; no signage, art shipping or sound tests; the base at the Low tier of the California buildout research (S30); Stage 0 2027 to 2028, Phases 1 and 2 in 2029, Phase 3 in 2030; guest stays from 2030; open in 2030 with the second phase of work in the two years after; 36 months from contract to opening; retreats built on USD 3,500 per head, 10 to 20 guests, 3 to 4 days; performance tickets 150 x USD 80; staff: a CEO, a COO, a fractional CFO, heads of programming, operations, and marketing and partnerships, one gardener and groundskeeper, one cleaner</t>
        </is>
      </c>
      <c r="C33" s="27" t="inlineStr"/>
      <c r="D33" s="27" t="inlineStr">
        <is>
          <t>owner decisions, read from the deck comments</t>
        </is>
      </c>
      <c r="E33" s="27" t="inlineStr">
        <is>
          <t>owner</t>
        </is>
      </c>
    </row>
    <row r="34">
      <c r="A34" s="27" t="inlineStr">
        <is>
          <t>S30</t>
        </is>
      </c>
      <c r="B34" s="27" t="inlineStr">
        <is>
          <t>California buildout research (14 Oct 2026; vault 08_RESEARCH/_Active/bastion/Bastion - Buildout Costs (California) and five detail pages): 2026 costs at Low, Mid and High for the amphitheater, studio, house, barn, site infrastructure, approvals, fees, furniture, contingency and escalation. Main sources: RLB North America Quarterly Cost Report Q3 2026; California DGS Construction Cost Index (Sept 2026 = 10,717); BOE AH 531 (2026); HVS US Hotel Development Cost Survey 2026; GSA P-120 and AACE 18R-97; State Water Board 2024 cost methodology; Ventura County fee schedules (July 2026); Signal Hill amphitheater bid (Nov 2025); CBS Los Angeles on Mountain Fire rebuild bids (Nov 2025)</t>
        </is>
      </c>
      <c r="C34" s="27" t="inlineStr">
        <is>
          <t>vault 08_RESEARCH/_Active/bastion/buildout/</t>
        </is>
      </c>
      <c r="D34" s="27" t="inlineStr">
        <is>
          <t>2026-10-14</t>
        </is>
      </c>
      <c r="E34" s="27" t="inlineStr">
        <is>
          <t>specialist</t>
        </is>
      </c>
    </row>
  </sheetData>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2026-10-15T15:30:22Z</dcterms:created>
  <dcterms:modified xmlns:dcterms="http://purl.org/dc/terms/" xmlns:xsi="http://www.w3.org/2001/XMLSchema-instance" xsi:type="dcterms:W3CDTF">2026-10-15T15:30:22Z</dcterms:modified>
</cp:coreProperties>
</file>